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ЦяКнига"/>
  <bookViews>
    <workbookView xWindow="0" yWindow="0" windowWidth="22260" windowHeight="12645"/>
  </bookViews>
  <sheets>
    <sheet name="Розрахунок коригування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5" i="1" l="1"/>
  <c r="L45" i="1"/>
  <c r="M45" i="1"/>
  <c r="N45" i="1"/>
  <c r="O45" i="1"/>
  <c r="P12" i="1"/>
  <c r="S12" i="1"/>
  <c r="U12" i="1"/>
  <c r="P13" i="1"/>
  <c r="S13" i="1"/>
  <c r="P14" i="1"/>
  <c r="S14" i="1"/>
  <c r="S15" i="1"/>
  <c r="U15" i="1" s="1"/>
  <c r="P16" i="1"/>
  <c r="R16" i="1"/>
  <c r="S16" i="1"/>
  <c r="U16" i="1" s="1"/>
  <c r="S20" i="1"/>
  <c r="P21" i="1"/>
  <c r="R21" i="1" s="1"/>
  <c r="S21" i="1"/>
  <c r="U21" i="1"/>
  <c r="P22" i="1"/>
  <c r="R22" i="1" s="1"/>
  <c r="S22" i="1"/>
  <c r="U22" i="1" s="1"/>
  <c r="P23" i="1"/>
  <c r="R23" i="1" s="1"/>
  <c r="S23" i="1"/>
  <c r="U23" i="1"/>
  <c r="S24" i="1"/>
  <c r="S25" i="1"/>
  <c r="P27" i="1"/>
  <c r="S27" i="1"/>
  <c r="P31" i="1"/>
  <c r="S31" i="1"/>
  <c r="P33" i="1"/>
  <c r="S33" i="1"/>
  <c r="P34" i="1"/>
  <c r="S34" i="1"/>
  <c r="S49" i="1"/>
  <c r="T49" i="1"/>
  <c r="F10" i="1" l="1"/>
  <c r="G10" i="1" s="1"/>
  <c r="D10" i="1"/>
  <c r="E10" i="1" s="1"/>
  <c r="H34" i="1"/>
  <c r="G34" i="1"/>
  <c r="E34" i="1"/>
  <c r="H33" i="1"/>
  <c r="G33" i="1"/>
  <c r="E33" i="1"/>
  <c r="I33" i="1" s="1"/>
  <c r="H31" i="1"/>
  <c r="G31" i="1"/>
  <c r="E31" i="1"/>
  <c r="I31" i="1" s="1"/>
  <c r="H25" i="1"/>
  <c r="G25" i="1"/>
  <c r="D25" i="1"/>
  <c r="E25" i="1" s="1"/>
  <c r="G24" i="1"/>
  <c r="D24" i="1"/>
  <c r="E24" i="1" s="1"/>
  <c r="H23" i="1"/>
  <c r="G23" i="1"/>
  <c r="E23" i="1"/>
  <c r="I23" i="1" s="1"/>
  <c r="H22" i="1"/>
  <c r="G22" i="1"/>
  <c r="E22" i="1"/>
  <c r="H21" i="1"/>
  <c r="G21" i="1"/>
  <c r="E21" i="1"/>
  <c r="G20" i="1"/>
  <c r="D20" i="1"/>
  <c r="E20" i="1" s="1"/>
  <c r="F19" i="1"/>
  <c r="G19" i="1" s="1"/>
  <c r="D19" i="1"/>
  <c r="G15" i="1"/>
  <c r="D15" i="1"/>
  <c r="H15" i="1" s="1"/>
  <c r="H14" i="1"/>
  <c r="G14" i="1"/>
  <c r="E14" i="1"/>
  <c r="H13" i="1"/>
  <c r="G13" i="1"/>
  <c r="E13" i="1"/>
  <c r="H12" i="1"/>
  <c r="G12" i="1"/>
  <c r="E12" i="1"/>
  <c r="I12" i="1" s="1"/>
  <c r="D11" i="1"/>
  <c r="F11" i="1"/>
  <c r="G11" i="1" s="1"/>
  <c r="E27" i="1"/>
  <c r="G27" i="1"/>
  <c r="H27" i="1"/>
  <c r="I27" i="1" l="1"/>
  <c r="I14" i="1"/>
  <c r="I22" i="1"/>
  <c r="E11" i="1"/>
  <c r="P11" i="1"/>
  <c r="R11" i="1" s="1"/>
  <c r="I21" i="1"/>
  <c r="H24" i="1"/>
  <c r="H19" i="1"/>
  <c r="H20" i="1"/>
  <c r="I25" i="1"/>
  <c r="I34" i="1"/>
  <c r="I11" i="1"/>
  <c r="E15" i="1"/>
  <c r="I15" i="1" s="1"/>
  <c r="I24" i="1"/>
  <c r="E19" i="1"/>
  <c r="I19" i="1" s="1"/>
  <c r="I13" i="1"/>
  <c r="I20" i="1"/>
  <c r="I10" i="1"/>
  <c r="F18" i="1"/>
  <c r="D18" i="1"/>
  <c r="F9" i="1"/>
  <c r="H10" i="1"/>
  <c r="D9" i="1"/>
  <c r="G9" i="1"/>
  <c r="H11" i="1"/>
  <c r="N12" i="1"/>
  <c r="V12" i="1" s="1"/>
  <c r="X12" i="1" s="1"/>
  <c r="H9" i="1" l="1"/>
  <c r="E9" i="1"/>
  <c r="E18" i="1"/>
  <c r="D17" i="1"/>
  <c r="H18" i="1"/>
  <c r="F17" i="1"/>
  <c r="G18" i="1"/>
  <c r="G17" i="1" s="1"/>
  <c r="G8" i="1" s="1"/>
  <c r="G26" i="1" s="1"/>
  <c r="I9" i="1"/>
  <c r="H17" i="1" l="1"/>
  <c r="F8" i="1"/>
  <c r="F26" i="1" s="1"/>
  <c r="F32" i="1" s="1"/>
  <c r="F30" i="1" s="1"/>
  <c r="E17" i="1"/>
  <c r="I17" i="1" s="1"/>
  <c r="I18" i="1"/>
  <c r="D8" i="1"/>
  <c r="L10" i="1"/>
  <c r="S10" i="1" s="1"/>
  <c r="U10" i="1" s="1"/>
  <c r="J10" i="1"/>
  <c r="P10" i="1" s="1"/>
  <c r="R10" i="1" s="1"/>
  <c r="G32" i="1" l="1"/>
  <c r="G30" i="1"/>
  <c r="F29" i="1"/>
  <c r="H8" i="1"/>
  <c r="D26" i="1"/>
  <c r="E8" i="1"/>
  <c r="F28" i="1" l="1"/>
  <c r="G29" i="1"/>
  <c r="G28" i="1" s="1"/>
  <c r="G35" i="1" s="1"/>
  <c r="E26" i="1"/>
  <c r="I8" i="1"/>
  <c r="D32" i="1"/>
  <c r="H26" i="1"/>
  <c r="F35" i="1"/>
  <c r="G37" i="1" s="1"/>
  <c r="G38" i="1" s="1"/>
  <c r="G39" i="1" l="1"/>
  <c r="G43" i="1"/>
  <c r="I26" i="1"/>
  <c r="E32" i="1"/>
  <c r="I32" i="1" s="1"/>
  <c r="D30" i="1"/>
  <c r="H32" i="1"/>
  <c r="D29" i="1" l="1"/>
  <c r="H30" i="1"/>
  <c r="E30" i="1"/>
  <c r="I30" i="1" s="1"/>
  <c r="D28" i="1" l="1"/>
  <c r="E29" i="1"/>
  <c r="H29" i="1"/>
  <c r="E28" i="1" l="1"/>
  <c r="E35" i="1" s="1"/>
  <c r="I29" i="1"/>
  <c r="H28" i="1"/>
  <c r="D35" i="1"/>
  <c r="H35" i="1" l="1"/>
  <c r="E37" i="1"/>
  <c r="I28" i="1"/>
  <c r="I35" i="1"/>
  <c r="E38" i="1" l="1"/>
  <c r="E39" i="1" s="1"/>
  <c r="I37" i="1"/>
  <c r="I38" i="1" s="1"/>
  <c r="M49" i="1"/>
  <c r="I43" i="1" l="1"/>
  <c r="I39" i="1"/>
  <c r="L19" i="1" l="1"/>
  <c r="S19" i="1" s="1"/>
  <c r="U19" i="1" s="1"/>
  <c r="J19" i="1"/>
  <c r="P19" i="1" s="1"/>
  <c r="R19" i="1" s="1"/>
  <c r="K16" i="1" l="1"/>
  <c r="Q16" i="1" s="1"/>
  <c r="N16" i="1"/>
  <c r="V16" i="1" s="1"/>
  <c r="X16" i="1" s="1"/>
  <c r="M16" i="1"/>
  <c r="T16" i="1" s="1"/>
  <c r="O16" i="1" l="1"/>
  <c r="W16" i="1" s="1"/>
  <c r="M50" i="1" l="1"/>
  <c r="N37" i="1"/>
  <c r="H37" i="1"/>
  <c r="N34" i="1"/>
  <c r="V34" i="1" s="1"/>
  <c r="M34" i="1"/>
  <c r="T34" i="1" s="1"/>
  <c r="K34" i="1"/>
  <c r="Q34" i="1" s="1"/>
  <c r="N33" i="1"/>
  <c r="V33" i="1" s="1"/>
  <c r="M33" i="1"/>
  <c r="T33" i="1" s="1"/>
  <c r="K33" i="1"/>
  <c r="Q33" i="1" s="1"/>
  <c r="N31" i="1"/>
  <c r="V31" i="1" s="1"/>
  <c r="M31" i="1"/>
  <c r="T31" i="1" s="1"/>
  <c r="K31" i="1"/>
  <c r="Q31" i="1" s="1"/>
  <c r="N27" i="1"/>
  <c r="V27" i="1" s="1"/>
  <c r="M27" i="1"/>
  <c r="T27" i="1" s="1"/>
  <c r="K27" i="1"/>
  <c r="Q27" i="1" s="1"/>
  <c r="M25" i="1"/>
  <c r="T25" i="1" s="1"/>
  <c r="J25" i="1"/>
  <c r="P25" i="1" s="1"/>
  <c r="M24" i="1"/>
  <c r="T24" i="1" s="1"/>
  <c r="J24" i="1"/>
  <c r="P24" i="1" s="1"/>
  <c r="N23" i="1"/>
  <c r="V23" i="1" s="1"/>
  <c r="X23" i="1" s="1"/>
  <c r="M23" i="1"/>
  <c r="T23" i="1" s="1"/>
  <c r="K23" i="1"/>
  <c r="Q23" i="1" s="1"/>
  <c r="N22" i="1"/>
  <c r="V22" i="1" s="1"/>
  <c r="X22" i="1" s="1"/>
  <c r="M22" i="1"/>
  <c r="K22" i="1"/>
  <c r="Q22" i="1" s="1"/>
  <c r="N21" i="1"/>
  <c r="V21" i="1" s="1"/>
  <c r="X21" i="1" s="1"/>
  <c r="M21" i="1"/>
  <c r="T21" i="1" s="1"/>
  <c r="K21" i="1"/>
  <c r="Q21" i="1" s="1"/>
  <c r="M20" i="1"/>
  <c r="T20" i="1" s="1"/>
  <c r="J20" i="1"/>
  <c r="P20" i="1" s="1"/>
  <c r="M19" i="1"/>
  <c r="T19" i="1" s="1"/>
  <c r="K19" i="1"/>
  <c r="Q19" i="1" s="1"/>
  <c r="N19" i="1"/>
  <c r="V19" i="1" s="1"/>
  <c r="X19" i="1" s="1"/>
  <c r="J18" i="1"/>
  <c r="P18" i="1" s="1"/>
  <c r="R18" i="1" s="1"/>
  <c r="M15" i="1"/>
  <c r="T15" i="1" s="1"/>
  <c r="J15" i="1"/>
  <c r="N14" i="1"/>
  <c r="V14" i="1" s="1"/>
  <c r="M14" i="1"/>
  <c r="T14" i="1" s="1"/>
  <c r="K14" i="1"/>
  <c r="Q14" i="1" s="1"/>
  <c r="N13" i="1"/>
  <c r="V13" i="1" s="1"/>
  <c r="M13" i="1"/>
  <c r="T13" i="1" s="1"/>
  <c r="K13" i="1"/>
  <c r="Q13" i="1" s="1"/>
  <c r="M12" i="1"/>
  <c r="T12" i="1" s="1"/>
  <c r="K12" i="1"/>
  <c r="Q12" i="1" s="1"/>
  <c r="L11" i="1"/>
  <c r="S11" i="1" s="1"/>
  <c r="U11" i="1" s="1"/>
  <c r="K11" i="1"/>
  <c r="Q11" i="1" s="1"/>
  <c r="N10" i="1"/>
  <c r="V10" i="1" s="1"/>
  <c r="X10" i="1" s="1"/>
  <c r="M10" i="1"/>
  <c r="T10" i="1" s="1"/>
  <c r="K10" i="1"/>
  <c r="Q10" i="1" s="1"/>
  <c r="J9" i="1" l="1"/>
  <c r="P9" i="1" s="1"/>
  <c r="R9" i="1" s="1"/>
  <c r="P15" i="1"/>
  <c r="R15" i="1" s="1"/>
  <c r="O22" i="1"/>
  <c r="N20" i="1"/>
  <c r="V20" i="1" s="1"/>
  <c r="N11" i="1"/>
  <c r="V11" i="1" s="1"/>
  <c r="X11" i="1" s="1"/>
  <c r="O21" i="1"/>
  <c r="W21" i="1" s="1"/>
  <c r="O34" i="1"/>
  <c r="W34" i="1" s="1"/>
  <c r="M11" i="1"/>
  <c r="T11" i="1" s="1"/>
  <c r="O13" i="1"/>
  <c r="W13" i="1" s="1"/>
  <c r="O31" i="1"/>
  <c r="W31" i="1" s="1"/>
  <c r="K20" i="1"/>
  <c r="Q20" i="1" s="1"/>
  <c r="O23" i="1"/>
  <c r="W23" i="1" s="1"/>
  <c r="O27" i="1"/>
  <c r="W27" i="1" s="1"/>
  <c r="O33" i="1"/>
  <c r="W33" i="1" s="1"/>
  <c r="N15" i="1"/>
  <c r="V15" i="1" s="1"/>
  <c r="X15" i="1" s="1"/>
  <c r="K15" i="1"/>
  <c r="O14" i="1"/>
  <c r="W14" i="1" s="1"/>
  <c r="O10" i="1"/>
  <c r="W10" i="1" s="1"/>
  <c r="O12" i="1"/>
  <c r="W12" i="1" s="1"/>
  <c r="L9" i="1"/>
  <c r="S9" i="1" s="1"/>
  <c r="U9" i="1" s="1"/>
  <c r="L18" i="1"/>
  <c r="S18" i="1" s="1"/>
  <c r="U18" i="1" s="1"/>
  <c r="O19" i="1"/>
  <c r="W19" i="1" s="1"/>
  <c r="N25" i="1"/>
  <c r="V25" i="1" s="1"/>
  <c r="K25" i="1"/>
  <c r="Q25" i="1" s="1"/>
  <c r="N24" i="1"/>
  <c r="V24" i="1" s="1"/>
  <c r="K24" i="1"/>
  <c r="Q24" i="1" s="1"/>
  <c r="J17" i="1"/>
  <c r="P17" i="1" s="1"/>
  <c r="K18" i="1"/>
  <c r="Q18" i="1" s="1"/>
  <c r="R17" i="1" l="1"/>
  <c r="K9" i="1"/>
  <c r="Q9" i="1" s="1"/>
  <c r="Q15" i="1"/>
  <c r="O15" i="1"/>
  <c r="W15" i="1" s="1"/>
  <c r="O20" i="1"/>
  <c r="W20" i="1" s="1"/>
  <c r="M9" i="1"/>
  <c r="T9" i="1" s="1"/>
  <c r="O11" i="1"/>
  <c r="W11" i="1" s="1"/>
  <c r="J8" i="1"/>
  <c r="P8" i="1" s="1"/>
  <c r="R8" i="1" s="1"/>
  <c r="N9" i="1"/>
  <c r="V9" i="1" s="1"/>
  <c r="X9" i="1" s="1"/>
  <c r="O25" i="1"/>
  <c r="W25" i="1" s="1"/>
  <c r="M18" i="1"/>
  <c r="T18" i="1" s="1"/>
  <c r="L17" i="1"/>
  <c r="S17" i="1" s="1"/>
  <c r="O24" i="1"/>
  <c r="W24" i="1" s="1"/>
  <c r="K17" i="1"/>
  <c r="Q17" i="1" s="1"/>
  <c r="N18" i="1"/>
  <c r="V18" i="1" s="1"/>
  <c r="X18" i="1" s="1"/>
  <c r="U17" i="1" l="1"/>
  <c r="O9" i="1"/>
  <c r="W9" i="1" s="1"/>
  <c r="J26" i="1"/>
  <c r="M17" i="1"/>
  <c r="O18" i="1"/>
  <c r="W18" i="1" s="1"/>
  <c r="L8" i="1"/>
  <c r="S8" i="1" s="1"/>
  <c r="U8" i="1" s="1"/>
  <c r="N17" i="1"/>
  <c r="V17" i="1" s="1"/>
  <c r="X17" i="1" s="1"/>
  <c r="K8" i="1"/>
  <c r="Q8" i="1" s="1"/>
  <c r="O17" i="1" l="1"/>
  <c r="W17" i="1" s="1"/>
  <c r="T17" i="1"/>
  <c r="J32" i="1"/>
  <c r="P26" i="1"/>
  <c r="R26" i="1" s="1"/>
  <c r="N8" i="1"/>
  <c r="V8" i="1" s="1"/>
  <c r="X8" i="1" s="1"/>
  <c r="L26" i="1"/>
  <c r="S26" i="1" s="1"/>
  <c r="U26" i="1" s="1"/>
  <c r="M8" i="1"/>
  <c r="K26" i="1"/>
  <c r="Q26" i="1" s="1"/>
  <c r="O8" i="1" l="1"/>
  <c r="W8" i="1" s="1"/>
  <c r="T8" i="1"/>
  <c r="J30" i="1"/>
  <c r="P30" i="1" s="1"/>
  <c r="R30" i="1" s="1"/>
  <c r="P32" i="1"/>
  <c r="R32" i="1" s="1"/>
  <c r="L32" i="1"/>
  <c r="S32" i="1" s="1"/>
  <c r="U32" i="1" s="1"/>
  <c r="M26" i="1"/>
  <c r="T26" i="1" s="1"/>
  <c r="N26" i="1"/>
  <c r="V26" i="1" s="1"/>
  <c r="X26" i="1" s="1"/>
  <c r="K32" i="1"/>
  <c r="Q32" i="1" s="1"/>
  <c r="J29" i="1" l="1"/>
  <c r="M32" i="1"/>
  <c r="T32" i="1" s="1"/>
  <c r="L30" i="1"/>
  <c r="N32" i="1"/>
  <c r="V32" i="1" s="1"/>
  <c r="X32" i="1" s="1"/>
  <c r="O26" i="1"/>
  <c r="W26" i="1" s="1"/>
  <c r="K30" i="1"/>
  <c r="Q30" i="1" s="1"/>
  <c r="M30" i="1" l="1"/>
  <c r="T30" i="1" s="1"/>
  <c r="S30" i="1"/>
  <c r="U30" i="1" s="1"/>
  <c r="J28" i="1"/>
  <c r="P28" i="1" s="1"/>
  <c r="P29" i="1"/>
  <c r="R29" i="1" s="1"/>
  <c r="N30" i="1"/>
  <c r="V30" i="1" s="1"/>
  <c r="X30" i="1" s="1"/>
  <c r="O32" i="1"/>
  <c r="W32" i="1" s="1"/>
  <c r="L29" i="1"/>
  <c r="S29" i="1" s="1"/>
  <c r="U29" i="1" s="1"/>
  <c r="O30" i="1"/>
  <c r="W30" i="1" s="1"/>
  <c r="K29" i="1"/>
  <c r="Q29" i="1" s="1"/>
  <c r="R28" i="1" l="1"/>
  <c r="R45" i="1" s="1"/>
  <c r="P45" i="1"/>
  <c r="L28" i="1"/>
  <c r="S28" i="1" s="1"/>
  <c r="N29" i="1"/>
  <c r="V29" i="1" s="1"/>
  <c r="X29" i="1" s="1"/>
  <c r="M29" i="1"/>
  <c r="K28" i="1"/>
  <c r="J35" i="1"/>
  <c r="K35" i="1" l="1"/>
  <c r="Q35" i="1" s="1"/>
  <c r="Q28" i="1"/>
  <c r="Q45" i="1" s="1"/>
  <c r="K37" i="1"/>
  <c r="K38" i="1" s="1"/>
  <c r="P35" i="1"/>
  <c r="R35" i="1" s="1"/>
  <c r="U28" i="1"/>
  <c r="S45" i="1"/>
  <c r="M28" i="1"/>
  <c r="T28" i="1" s="1"/>
  <c r="T45" i="1" s="1"/>
  <c r="T29" i="1"/>
  <c r="L35" i="1"/>
  <c r="N28" i="1"/>
  <c r="V28" i="1" s="1"/>
  <c r="X28" i="1" s="1"/>
  <c r="O29" i="1"/>
  <c r="W29" i="1" s="1"/>
  <c r="G40" i="1"/>
  <c r="H40" i="1" s="1"/>
  <c r="O28" i="1"/>
  <c r="W28" i="1" s="1"/>
  <c r="M35" i="1" l="1"/>
  <c r="T35" i="1" s="1"/>
  <c r="M37" i="1"/>
  <c r="M38" i="1" s="1"/>
  <c r="S35" i="1"/>
  <c r="U35" i="1" s="1"/>
  <c r="K39" i="1"/>
  <c r="K43" i="1"/>
  <c r="M39" i="1"/>
  <c r="M43" i="1"/>
  <c r="N35" i="1"/>
  <c r="V35" i="1" s="1"/>
  <c r="X35" i="1" s="1"/>
  <c r="O37" i="1"/>
  <c r="O38" i="1" s="1"/>
  <c r="M40" i="1"/>
  <c r="N40" i="1" s="1"/>
  <c r="K40" i="1"/>
  <c r="L40" i="1" s="1"/>
  <c r="P40" i="1" s="1"/>
  <c r="P44" i="1" s="1"/>
  <c r="K41" i="1"/>
  <c r="L41" i="1" s="1"/>
  <c r="P41" i="1" s="1"/>
  <c r="K42" i="1"/>
  <c r="L42" i="1" s="1"/>
  <c r="P42" i="1" s="1"/>
  <c r="M42" i="1"/>
  <c r="N42" i="1" s="1"/>
  <c r="M41" i="1"/>
  <c r="N41" i="1" s="1"/>
  <c r="O35" i="1"/>
  <c r="W35" i="1" s="1"/>
  <c r="W37" i="1" s="1"/>
  <c r="W38" i="1" s="1"/>
  <c r="G42" i="1"/>
  <c r="H42" i="1" s="1"/>
  <c r="G41" i="1"/>
  <c r="H41" i="1" s="1"/>
  <c r="O43" i="1" l="1"/>
  <c r="O39" i="1"/>
  <c r="E40" i="1"/>
  <c r="E42" i="1"/>
  <c r="E41" i="1"/>
  <c r="O42" i="1"/>
  <c r="O41" i="1"/>
  <c r="O40" i="1"/>
  <c r="E43" i="1"/>
  <c r="F40" i="1" l="1"/>
  <c r="J40" i="1" s="1"/>
  <c r="I40" i="1"/>
  <c r="F41" i="1"/>
  <c r="J41" i="1" s="1"/>
  <c r="I41" i="1"/>
  <c r="F42" i="1"/>
  <c r="J42" i="1" s="1"/>
  <c r="I42" i="1"/>
</calcChain>
</file>

<file path=xl/comments1.xml><?xml version="1.0" encoding="utf-8"?>
<comments xmlns="http://schemas.openxmlformats.org/spreadsheetml/2006/main">
  <authors>
    <author>Автор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запчасти на бульдозер
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запчасти на бульдозер
</t>
        </r>
      </text>
    </comment>
  </commentList>
</comments>
</file>

<file path=xl/sharedStrings.xml><?xml version="1.0" encoding="utf-8"?>
<sst xmlns="http://schemas.openxmlformats.org/spreadsheetml/2006/main" count="106" uniqueCount="89">
  <si>
    <t>№</t>
  </si>
  <si>
    <t>Показник</t>
  </si>
  <si>
    <t>Код рядка</t>
  </si>
  <si>
    <t>ЗБИРАННЯ ТА ПЕРЕВЕЗЕННЯ</t>
  </si>
  <si>
    <t>ВИДАЛЕННЯ</t>
  </si>
  <si>
    <t>УПРАВЛІННЯ ПОБУТОВИМИ ВІДХОДАМИ</t>
  </si>
  <si>
    <t>усього, грн</t>
  </si>
  <si>
    <t>усього,грн</t>
  </si>
  <si>
    <t>А</t>
  </si>
  <si>
    <t>Б</t>
  </si>
  <si>
    <t>В</t>
  </si>
  <si>
    <t>Виробнича собівартість, усього, зокрема:</t>
  </si>
  <si>
    <t>1.1</t>
  </si>
  <si>
    <t>прямі матеріальні витрати, зокрема:</t>
  </si>
  <si>
    <t>1.1.1</t>
  </si>
  <si>
    <t>паливно-мастильні матеріали</t>
  </si>
  <si>
    <t>1.1.2</t>
  </si>
  <si>
    <t>матеріали для ремонту засобів механізації</t>
  </si>
  <si>
    <t>1.1.3</t>
  </si>
  <si>
    <t>електроенергія на технологічні потреби</t>
  </si>
  <si>
    <t>1.1.4</t>
  </si>
  <si>
    <t>доставка ґрунту**</t>
  </si>
  <si>
    <t>1.1.5</t>
  </si>
  <si>
    <t>матеріальні витрати для збирання, транспортування та знезараження фільтрату**</t>
  </si>
  <si>
    <t>1.1.6</t>
  </si>
  <si>
    <t>інші прямі матеріальні витрати</t>
  </si>
  <si>
    <t>1.2</t>
  </si>
  <si>
    <t>прямі витрати на оплату праці</t>
  </si>
  <si>
    <t>1.3</t>
  </si>
  <si>
    <t>інші прямі витрати, зокрема:</t>
  </si>
  <si>
    <t>1.3.1</t>
  </si>
  <si>
    <t>єдиний внесок на загальнообов'язкове державне соціальне страхування працівників</t>
  </si>
  <si>
    <t>1.3.2</t>
  </si>
  <si>
    <t>амортизація основних виробничих засобів та нематеріальних активів, безпосередньо пов'язаних із наданням послуги</t>
  </si>
  <si>
    <t>1.3.3</t>
  </si>
  <si>
    <t>інші прямі витрати</t>
  </si>
  <si>
    <t>1.4</t>
  </si>
  <si>
    <t>Загальновиробничі витрати</t>
  </si>
  <si>
    <t>Адміністративні витрати</t>
  </si>
  <si>
    <t>Витрати на збут</t>
  </si>
  <si>
    <t>Інші операційні витрати</t>
  </si>
  <si>
    <t>Фінансові витрати</t>
  </si>
  <si>
    <t>Усього витрат повної собівартості*</t>
  </si>
  <si>
    <t>Витрати на покриття втрат</t>
  </si>
  <si>
    <t>Планований прибуток*</t>
  </si>
  <si>
    <t>8.1</t>
  </si>
  <si>
    <t>податок на прибуток</t>
  </si>
  <si>
    <t>8.2</t>
  </si>
  <si>
    <t>чистий прибуток, зокрема:</t>
  </si>
  <si>
    <t>8.2.1</t>
  </si>
  <si>
    <t>дивіденди</t>
  </si>
  <si>
    <t>8.2.2</t>
  </si>
  <si>
    <t>резервний фонд (капітал)</t>
  </si>
  <si>
    <t>8.2.3</t>
  </si>
  <si>
    <t>на розвиток виробництва (виробничі інвестиції)</t>
  </si>
  <si>
    <t>8.2.4</t>
  </si>
  <si>
    <t>інше використання прибутку</t>
  </si>
  <si>
    <t>Вартість послуг з управління побутовими відходами для споживачів</t>
  </si>
  <si>
    <t>Обсяг послуг з управління побутовими відходами (тис. м3):</t>
  </si>
  <si>
    <t>Тариф на послуги з управління побутовими відходами</t>
  </si>
  <si>
    <t>Тариф на послуги з управління побутовими відходами з ПДВ</t>
  </si>
  <si>
    <t>м.Зеленодольськ  - з 1 людини, грн з ПДВ</t>
  </si>
  <si>
    <t>населення</t>
  </si>
  <si>
    <t>бюджет</t>
  </si>
  <si>
    <t>інші</t>
  </si>
  <si>
    <t>с.Мала Долина - з 1 людини, грн з ПДВ</t>
  </si>
  <si>
    <t>Примітка.</t>
  </si>
  <si>
    <t>Розрахунок повної собівартості та тарифів здійснюється окремо за послугами зі збирання і перевезення та видалення побутових відходів.</t>
  </si>
  <si>
    <t>* Без урахування списання безнадійної дебіторської заборгованості та нарахування резерву сумнівних боргів.</t>
  </si>
  <si>
    <t>норма</t>
  </si>
  <si>
    <t xml:space="preserve">Діючий тариф на період 2026 р. </t>
  </si>
  <si>
    <t xml:space="preserve">Відкоригований тариф </t>
  </si>
  <si>
    <t>усього, грн ст.7-ст.1</t>
  </si>
  <si>
    <t>усього, грн ст.9-ст.3</t>
  </si>
  <si>
    <t>усього, грн ст.11-5ст</t>
  </si>
  <si>
    <t>Відхилення показників  у відкоригованному тарифі від діючого</t>
  </si>
  <si>
    <t>збільшення%</t>
  </si>
  <si>
    <t>збільшення    %</t>
  </si>
  <si>
    <t>збільшеня%</t>
  </si>
  <si>
    <r>
      <t>грн/м</t>
    </r>
    <r>
      <rPr>
        <vertAlign val="superscript"/>
        <sz val="8"/>
        <rFont val="Times New Roman"/>
        <family val="1"/>
        <charset val="204"/>
      </rPr>
      <t>-3</t>
    </r>
  </si>
  <si>
    <t>норма Зеленодоольськ</t>
  </si>
  <si>
    <t>М.Костромка</t>
  </si>
  <si>
    <t>Директор КП ЗМВ _______________Дмитро ЯНЧЕНКО</t>
  </si>
  <si>
    <t>Додаток  4</t>
  </si>
  <si>
    <r>
      <t>грн/м</t>
    </r>
    <r>
      <rPr>
        <vertAlign val="superscript"/>
        <sz val="10"/>
        <color theme="0"/>
        <rFont val="Times New Roman"/>
        <family val="1"/>
        <charset val="204"/>
      </rPr>
      <t>3</t>
    </r>
  </si>
  <si>
    <r>
      <t>грн/м</t>
    </r>
    <r>
      <rPr>
        <vertAlign val="superscript"/>
        <sz val="8"/>
        <color theme="0"/>
        <rFont val="Times New Roman"/>
        <family val="1"/>
        <charset val="204"/>
      </rPr>
      <t>3</t>
    </r>
  </si>
  <si>
    <t xml:space="preserve">                                                                                                                       Структура   відкоригованого тарифу на послуги з управління побутовими відходами КП "ЗЕЛЕНОДОЛЬСЬКИЙ МІСЬКИЙ ВОДОКАНАЛ" </t>
  </si>
  <si>
    <t xml:space="preserve"> Додаток 2</t>
  </si>
  <si>
    <t>Додаток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</si>
</sst>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0.000000000"/>
    <numFmt numFmtId="169" formatCode="\+0.00;\-0.00;0.00"/>
    <numFmt numFmtId="171" formatCode="0.00000000"/>
  </numFmts>
  <fonts count="3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rgb="FFFF0000"/>
      <name val="Calibri"/>
      <family val="2"/>
      <charset val="204"/>
      <scheme val="minor"/>
    </font>
    <font>
      <vertAlign val="superscript"/>
      <sz val="8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sz val="10"/>
      <color theme="0"/>
      <name val="Times New Roman"/>
      <family val="1"/>
      <charset val="204"/>
    </font>
    <font>
      <b/>
      <sz val="11"/>
      <color theme="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0"/>
      <name val="Times New Roman"/>
      <family val="1"/>
      <charset val="204"/>
    </font>
    <font>
      <vertAlign val="superscript"/>
      <sz val="10"/>
      <color theme="0"/>
      <name val="Times New Roman"/>
      <family val="1"/>
      <charset val="204"/>
    </font>
    <font>
      <vertAlign val="superscript"/>
      <sz val="8"/>
      <color theme="0"/>
      <name val="Times New Roman"/>
      <family val="1"/>
      <charset val="204"/>
    </font>
    <font>
      <b/>
      <i/>
      <sz val="10"/>
      <color theme="0"/>
      <name val="Times New Roman"/>
      <family val="1"/>
      <charset val="204"/>
    </font>
    <font>
      <i/>
      <sz val="10"/>
      <color theme="0"/>
      <name val="Times New Roman"/>
      <family val="1"/>
      <charset val="204"/>
    </font>
    <font>
      <i/>
      <sz val="10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2" fillId="2" borderId="2" xfId="0" applyNumberFormat="1" applyFont="1" applyFill="1" applyBorder="1"/>
    <xf numFmtId="49" fontId="5" fillId="2" borderId="2" xfId="0" applyNumberFormat="1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top" wrapText="1"/>
    </xf>
    <xf numFmtId="4" fontId="7" fillId="2" borderId="2" xfId="0" applyNumberFormat="1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2" fontId="9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/>
    </xf>
    <xf numFmtId="2" fontId="14" fillId="2" borderId="0" xfId="0" applyNumberFormat="1" applyFont="1" applyFill="1"/>
    <xf numFmtId="0" fontId="14" fillId="2" borderId="0" xfId="0" applyFont="1" applyFill="1"/>
    <xf numFmtId="4" fontId="14" fillId="2" borderId="0" xfId="0" applyNumberFormat="1" applyFont="1" applyFill="1"/>
    <xf numFmtId="0" fontId="3" fillId="2" borderId="2" xfId="0" applyFont="1" applyFill="1" applyBorder="1" applyAlignment="1">
      <alignment horizontal="left" vertical="top" wrapText="1"/>
    </xf>
    <xf numFmtId="0" fontId="0" fillId="2" borderId="0" xfId="0" applyFont="1" applyFill="1"/>
    <xf numFmtId="0" fontId="0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top" wrapText="1"/>
    </xf>
    <xf numFmtId="3" fontId="5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49" fontId="0" fillId="2" borderId="2" xfId="0" applyNumberFormat="1" applyFont="1" applyFill="1" applyBorder="1"/>
    <xf numFmtId="2" fontId="0" fillId="2" borderId="2" xfId="0" applyNumberFormat="1" applyFont="1" applyFill="1" applyBorder="1"/>
    <xf numFmtId="2" fontId="17" fillId="2" borderId="0" xfId="0" applyNumberFormat="1" applyFont="1" applyFill="1" applyAlignment="1">
      <alignment horizontal="center" vertical="center"/>
    </xf>
    <xf numFmtId="2" fontId="19" fillId="2" borderId="2" xfId="0" applyNumberFormat="1" applyFont="1" applyFill="1" applyBorder="1" applyAlignment="1">
      <alignment horizontal="center" vertical="center"/>
    </xf>
    <xf numFmtId="49" fontId="20" fillId="2" borderId="0" xfId="0" applyNumberFormat="1" applyFont="1" applyFill="1" applyAlignment="1">
      <alignment horizontal="left" vertical="top" wrapText="1"/>
    </xf>
    <xf numFmtId="0" fontId="14" fillId="2" borderId="0" xfId="0" applyFont="1" applyFill="1" applyAlignment="1">
      <alignment horizontal="center" vertical="center"/>
    </xf>
    <xf numFmtId="49" fontId="14" fillId="2" borderId="0" xfId="0" applyNumberFormat="1" applyFont="1" applyFill="1"/>
    <xf numFmtId="171" fontId="16" fillId="2" borderId="0" xfId="0" applyNumberFormat="1" applyFont="1" applyFill="1" applyAlignment="1">
      <alignment horizontal="center" vertical="center"/>
    </xf>
    <xf numFmtId="2" fontId="22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22" fillId="0" borderId="2" xfId="0" applyNumberFormat="1" applyFont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3" fillId="2" borderId="0" xfId="0" applyFont="1" applyFill="1"/>
    <xf numFmtId="0" fontId="14" fillId="0" borderId="0" xfId="0" applyFont="1"/>
    <xf numFmtId="0" fontId="14" fillId="2" borderId="0" xfId="0" applyFont="1" applyFill="1" applyAlignment="1"/>
    <xf numFmtId="0" fontId="5" fillId="2" borderId="2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14" fillId="2" borderId="0" xfId="0" applyFont="1" applyFill="1" applyBorder="1"/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169" fontId="24" fillId="2" borderId="0" xfId="0" applyNumberFormat="1" applyFont="1" applyFill="1" applyBorder="1" applyAlignment="1" applyProtection="1">
      <alignment horizontal="center" vertical="center" wrapText="1"/>
      <protection hidden="1"/>
    </xf>
    <xf numFmtId="164" fontId="24" fillId="2" borderId="0" xfId="0" applyNumberFormat="1" applyFont="1" applyFill="1" applyBorder="1" applyAlignment="1" applyProtection="1">
      <alignment horizontal="center" vertical="center" wrapText="1"/>
      <protection hidden="1"/>
    </xf>
    <xf numFmtId="9" fontId="24" fillId="2" borderId="0" xfId="0" applyNumberFormat="1" applyFont="1" applyFill="1" applyBorder="1" applyAlignment="1" applyProtection="1">
      <alignment horizontal="center" vertical="center" wrapText="1"/>
      <protection hidden="1"/>
    </xf>
    <xf numFmtId="164" fontId="27" fillId="2" borderId="0" xfId="0" applyNumberFormat="1" applyFont="1" applyFill="1" applyBorder="1" applyAlignment="1">
      <alignment horizontal="center" vertical="center"/>
    </xf>
    <xf numFmtId="169" fontId="20" fillId="2" borderId="0" xfId="0" applyNumberFormat="1" applyFont="1" applyFill="1" applyBorder="1" applyAlignment="1" applyProtection="1">
      <alignment horizontal="center" vertical="center" wrapText="1"/>
      <protection hidden="1"/>
    </xf>
    <xf numFmtId="164" fontId="20" fillId="2" borderId="0" xfId="0" applyNumberFormat="1" applyFont="1" applyFill="1" applyBorder="1" applyAlignment="1" applyProtection="1">
      <alignment horizontal="center" vertical="center" wrapText="1"/>
      <protection hidden="1"/>
    </xf>
    <xf numFmtId="164" fontId="28" fillId="2" borderId="0" xfId="0" applyNumberFormat="1" applyFont="1" applyFill="1" applyBorder="1" applyAlignment="1">
      <alignment horizontal="center" vertical="center"/>
    </xf>
    <xf numFmtId="10" fontId="28" fillId="2" borderId="0" xfId="0" applyNumberFormat="1" applyFont="1" applyFill="1" applyBorder="1" applyAlignment="1">
      <alignment horizontal="center" vertical="center"/>
    </xf>
    <xf numFmtId="2" fontId="20" fillId="2" borderId="0" xfId="0" applyNumberFormat="1" applyFont="1" applyFill="1" applyBorder="1" applyAlignment="1" applyProtection="1">
      <alignment horizontal="center" vertical="center" wrapText="1"/>
      <protection hidden="1"/>
    </xf>
    <xf numFmtId="4" fontId="28" fillId="2" borderId="0" xfId="0" applyNumberFormat="1" applyFont="1" applyFill="1" applyBorder="1" applyAlignment="1" applyProtection="1">
      <alignment horizontal="center" vertical="center" wrapText="1"/>
      <protection hidden="1"/>
    </xf>
    <xf numFmtId="2" fontId="29" fillId="2" borderId="0" xfId="0" applyNumberFormat="1" applyFont="1" applyFill="1" applyBorder="1" applyAlignment="1" applyProtection="1">
      <alignment horizontal="center" vertical="center"/>
      <protection hidden="1"/>
    </xf>
    <xf numFmtId="2" fontId="14" fillId="2" borderId="0" xfId="0" applyNumberFormat="1" applyFont="1" applyFill="1" applyBorder="1"/>
    <xf numFmtId="4" fontId="15" fillId="2" borderId="0" xfId="0" applyNumberFormat="1" applyFont="1" applyFill="1" applyBorder="1"/>
    <xf numFmtId="4" fontId="14" fillId="2" borderId="0" xfId="0" applyNumberFormat="1" applyFont="1" applyFill="1" applyBorder="1"/>
    <xf numFmtId="4" fontId="16" fillId="2" borderId="0" xfId="0" applyNumberFormat="1" applyFont="1" applyFill="1" applyBorder="1"/>
    <xf numFmtId="0" fontId="14" fillId="0" borderId="0" xfId="0" applyFont="1" applyBorder="1"/>
    <xf numFmtId="165" fontId="14" fillId="2" borderId="0" xfId="0" applyNumberFormat="1" applyFont="1" applyFill="1" applyBorder="1"/>
    <xf numFmtId="49" fontId="20" fillId="2" borderId="0" xfId="0" applyNumberFormat="1" applyFont="1" applyFill="1" applyAlignment="1">
      <alignment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 applyProtection="1">
      <alignment horizontal="center" vertical="center" wrapText="1"/>
      <protection hidden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Аркуш1"/>
  <dimension ref="A1:X51"/>
  <sheetViews>
    <sheetView tabSelected="1" topLeftCell="A31" workbookViewId="0">
      <selection activeCell="T11" sqref="T11"/>
    </sheetView>
  </sheetViews>
  <sheetFormatPr defaultRowHeight="15" x14ac:dyDescent="0.25"/>
  <cols>
    <col min="1" max="1" width="7" style="21" customWidth="1"/>
    <col min="2" max="2" width="28.42578125" style="21" customWidth="1"/>
    <col min="3" max="3" width="6.42578125" style="21" customWidth="1"/>
    <col min="4" max="4" width="12.140625" style="21" customWidth="1"/>
    <col min="5" max="5" width="9.28515625" style="21" bestFit="1" customWidth="1"/>
    <col min="6" max="6" width="12.140625" style="21" customWidth="1"/>
    <col min="7" max="7" width="9.28515625" style="21" bestFit="1" customWidth="1"/>
    <col min="8" max="8" width="11.7109375" style="21" customWidth="1"/>
    <col min="9" max="9" width="9.28515625" style="21" bestFit="1" customWidth="1"/>
    <col min="10" max="10" width="11.140625" style="21" customWidth="1"/>
    <col min="11" max="11" width="9.140625" style="21"/>
    <col min="12" max="12" width="11.85546875" style="21" customWidth="1"/>
    <col min="13" max="13" width="9.140625" style="21"/>
    <col min="14" max="14" width="12.140625" style="21" customWidth="1"/>
    <col min="15" max="15" width="9.140625" style="21"/>
    <col min="16" max="16" width="12" style="44" customWidth="1"/>
    <col min="17" max="17" width="9.140625" style="44"/>
    <col min="18" max="18" width="9.85546875" style="44" customWidth="1"/>
    <col min="19" max="20" width="13.7109375" style="44" customWidth="1"/>
    <col min="21" max="21" width="9.5703125" style="44" customWidth="1"/>
    <col min="22" max="22" width="12.140625" style="44" customWidth="1"/>
    <col min="23" max="23" width="10" style="44" bestFit="1" customWidth="1"/>
    <col min="24" max="24" width="9.5703125" style="44" customWidth="1"/>
    <col min="25" max="16384" width="9.140625" style="21"/>
  </cols>
  <sheetData>
    <row r="1" spans="1:24" x14ac:dyDescent="0.25">
      <c r="M1" s="21" t="s">
        <v>88</v>
      </c>
    </row>
    <row r="2" spans="1:24" ht="15.75" customHeight="1" x14ac:dyDescent="0.25">
      <c r="B2" s="69" t="s">
        <v>86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43" t="s">
        <v>87</v>
      </c>
      <c r="V2" s="44" t="s">
        <v>83</v>
      </c>
    </row>
    <row r="3" spans="1:24" ht="15" customHeight="1" x14ac:dyDescent="0.25">
      <c r="A3" s="64" t="s">
        <v>0</v>
      </c>
      <c r="B3" s="70" t="s">
        <v>1</v>
      </c>
      <c r="C3" s="70" t="s">
        <v>2</v>
      </c>
      <c r="D3" s="66" t="s">
        <v>70</v>
      </c>
      <c r="E3" s="66"/>
      <c r="F3" s="66"/>
      <c r="G3" s="66"/>
      <c r="H3" s="66"/>
      <c r="I3" s="66"/>
      <c r="J3" s="66" t="s">
        <v>71</v>
      </c>
      <c r="K3" s="66"/>
      <c r="L3" s="66"/>
      <c r="M3" s="66"/>
      <c r="N3" s="66"/>
      <c r="O3" s="66"/>
      <c r="P3" s="71" t="s">
        <v>75</v>
      </c>
      <c r="Q3" s="71"/>
      <c r="R3" s="71"/>
      <c r="S3" s="71"/>
      <c r="T3" s="71"/>
      <c r="U3" s="71"/>
      <c r="V3" s="71"/>
      <c r="W3" s="71"/>
      <c r="X3" s="71"/>
    </row>
    <row r="4" spans="1:24" x14ac:dyDescent="0.25">
      <c r="A4" s="64"/>
      <c r="B4" s="70"/>
      <c r="C4" s="70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71"/>
      <c r="Q4" s="71"/>
      <c r="R4" s="71"/>
      <c r="S4" s="71"/>
      <c r="T4" s="71"/>
      <c r="U4" s="71"/>
      <c r="V4" s="71"/>
      <c r="W4" s="71"/>
      <c r="X4" s="71"/>
    </row>
    <row r="5" spans="1:24" ht="35.25" customHeight="1" x14ac:dyDescent="0.25">
      <c r="A5" s="64"/>
      <c r="B5" s="70"/>
      <c r="C5" s="70"/>
      <c r="D5" s="67" t="s">
        <v>3</v>
      </c>
      <c r="E5" s="67"/>
      <c r="F5" s="67" t="s">
        <v>4</v>
      </c>
      <c r="G5" s="67"/>
      <c r="H5" s="68" t="s">
        <v>5</v>
      </c>
      <c r="I5" s="68"/>
      <c r="J5" s="67" t="s">
        <v>3</v>
      </c>
      <c r="K5" s="67"/>
      <c r="L5" s="67" t="s">
        <v>4</v>
      </c>
      <c r="M5" s="67"/>
      <c r="N5" s="68" t="s">
        <v>5</v>
      </c>
      <c r="O5" s="68"/>
      <c r="P5" s="71" t="s">
        <v>3</v>
      </c>
      <c r="Q5" s="71"/>
      <c r="R5" s="71"/>
      <c r="S5" s="71" t="s">
        <v>4</v>
      </c>
      <c r="T5" s="71"/>
      <c r="U5" s="71"/>
      <c r="V5" s="71" t="s">
        <v>5</v>
      </c>
      <c r="W5" s="71"/>
      <c r="X5" s="71"/>
    </row>
    <row r="6" spans="1:24" ht="25.5" x14ac:dyDescent="0.25">
      <c r="A6" s="64"/>
      <c r="B6" s="70"/>
      <c r="C6" s="70"/>
      <c r="D6" s="3" t="s">
        <v>6</v>
      </c>
      <c r="E6" s="3" t="s">
        <v>79</v>
      </c>
      <c r="F6" s="3" t="s">
        <v>6</v>
      </c>
      <c r="G6" s="3" t="s">
        <v>79</v>
      </c>
      <c r="H6" s="3" t="s">
        <v>7</v>
      </c>
      <c r="I6" s="3" t="s">
        <v>79</v>
      </c>
      <c r="J6" s="42" t="s">
        <v>6</v>
      </c>
      <c r="K6" s="42" t="s">
        <v>79</v>
      </c>
      <c r="L6" s="42" t="s">
        <v>6</v>
      </c>
      <c r="M6" s="42" t="s">
        <v>79</v>
      </c>
      <c r="N6" s="42" t="s">
        <v>7</v>
      </c>
      <c r="O6" s="42" t="s">
        <v>79</v>
      </c>
      <c r="P6" s="45" t="s">
        <v>72</v>
      </c>
      <c r="Q6" s="45" t="s">
        <v>84</v>
      </c>
      <c r="R6" s="45" t="s">
        <v>76</v>
      </c>
      <c r="S6" s="45" t="s">
        <v>73</v>
      </c>
      <c r="T6" s="45" t="s">
        <v>85</v>
      </c>
      <c r="U6" s="45" t="s">
        <v>77</v>
      </c>
      <c r="V6" s="45" t="s">
        <v>74</v>
      </c>
      <c r="W6" s="45" t="s">
        <v>85</v>
      </c>
      <c r="X6" s="45" t="s">
        <v>78</v>
      </c>
    </row>
    <row r="7" spans="1:24" x14ac:dyDescent="0.25">
      <c r="A7" s="6" t="s">
        <v>8</v>
      </c>
      <c r="B7" s="23" t="s">
        <v>9</v>
      </c>
      <c r="C7" s="3" t="s">
        <v>10</v>
      </c>
      <c r="D7" s="3">
        <v>1</v>
      </c>
      <c r="E7" s="3">
        <v>2</v>
      </c>
      <c r="F7" s="3">
        <v>3</v>
      </c>
      <c r="G7" s="3">
        <v>4</v>
      </c>
      <c r="H7" s="3">
        <v>5</v>
      </c>
      <c r="I7" s="3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5">
        <v>13</v>
      </c>
      <c r="Q7" s="45">
        <v>14</v>
      </c>
      <c r="R7" s="45">
        <v>15</v>
      </c>
      <c r="S7" s="45">
        <v>16</v>
      </c>
      <c r="T7" s="45">
        <v>17</v>
      </c>
      <c r="U7" s="45">
        <v>18</v>
      </c>
      <c r="V7" s="45">
        <v>19</v>
      </c>
      <c r="W7" s="45">
        <v>20</v>
      </c>
      <c r="X7" s="45">
        <v>21</v>
      </c>
    </row>
    <row r="8" spans="1:24" ht="25.5" x14ac:dyDescent="0.25">
      <c r="A8" s="6">
        <v>1</v>
      </c>
      <c r="B8" s="20" t="s">
        <v>11</v>
      </c>
      <c r="C8" s="14">
        <v>1</v>
      </c>
      <c r="D8" s="8">
        <f>D9+D16+D17+D21</f>
        <v>2967638.9809898199</v>
      </c>
      <c r="E8" s="8">
        <f>E9+E16+E17+E21</f>
        <v>167.21919090493151</v>
      </c>
      <c r="F8" s="8">
        <f>F9+F16+F17+F21</f>
        <v>2111993.7234553299</v>
      </c>
      <c r="G8" s="8">
        <f>G9+G16+G17+G21</f>
        <v>113.67639396390172</v>
      </c>
      <c r="H8" s="8">
        <f>D8+F8</f>
        <v>5079632.7044451497</v>
      </c>
      <c r="I8" s="8">
        <f>E8+G8</f>
        <v>280.89558486883323</v>
      </c>
      <c r="J8" s="8">
        <f>J9+J16+J17+J21</f>
        <v>3584912.7391404859</v>
      </c>
      <c r="K8" s="8">
        <f>K9+K16+K17+K21</f>
        <v>202.00105590468732</v>
      </c>
      <c r="L8" s="8">
        <f>L9+L16+L17+L21</f>
        <v>2603926.6381717939</v>
      </c>
      <c r="M8" s="8">
        <f>M9+M16+M17+M21</f>
        <v>140.15429453532451</v>
      </c>
      <c r="N8" s="8">
        <f>J8+L8</f>
        <v>6188839.3773122802</v>
      </c>
      <c r="O8" s="8">
        <f>K8+M8</f>
        <v>342.15535044001183</v>
      </c>
      <c r="P8" s="46">
        <f>J8-D8</f>
        <v>617273.75815066602</v>
      </c>
      <c r="Q8" s="46">
        <f>K8-E8</f>
        <v>34.781864999755811</v>
      </c>
      <c r="R8" s="47">
        <f>P8/D8</f>
        <v>0.2080016343311348</v>
      </c>
      <c r="S8" s="46">
        <f>L8-F8</f>
        <v>491932.914716464</v>
      </c>
      <c r="T8" s="46">
        <f>M8-G8</f>
        <v>26.477900571422794</v>
      </c>
      <c r="U8" s="48">
        <f>S8/F8</f>
        <v>0.23292347380258147</v>
      </c>
      <c r="V8" s="46">
        <f>N8-H8</f>
        <v>1109206.6728671305</v>
      </c>
      <c r="W8" s="46">
        <f>O8-I8</f>
        <v>61.259765571178605</v>
      </c>
      <c r="X8" s="49">
        <f>V8/H8</f>
        <v>0.21836355843139441</v>
      </c>
    </row>
    <row r="9" spans="1:24" ht="25.5" x14ac:dyDescent="0.25">
      <c r="A9" s="6" t="s">
        <v>12</v>
      </c>
      <c r="B9" s="20" t="s">
        <v>13</v>
      </c>
      <c r="C9" s="14">
        <v>2</v>
      </c>
      <c r="D9" s="8">
        <f>D10+D11+D12+D13+D14+D15</f>
        <v>749240.75074048596</v>
      </c>
      <c r="E9" s="8">
        <f>E10+E11+E12+E13+E14+E15</f>
        <v>42.217881937256202</v>
      </c>
      <c r="F9" s="8">
        <f>F10+F11+F12+F13+F14+F15</f>
        <v>286319.04557179398</v>
      </c>
      <c r="G9" s="8">
        <f>G10+G11+G12+G13+G14+G15</f>
        <v>15.410896472996068</v>
      </c>
      <c r="H9" s="8">
        <f t="shared" ref="H9:I37" si="0">D9+F9</f>
        <v>1035559.79631228</v>
      </c>
      <c r="I9" s="8">
        <f t="shared" si="0"/>
        <v>57.628778410252266</v>
      </c>
      <c r="J9" s="8">
        <f>J10+J11+J12+J13+J14+J15</f>
        <v>749240.75074048596</v>
      </c>
      <c r="K9" s="8">
        <f>K10+K11+K12+K13+K14+K15</f>
        <v>42.217881937256202</v>
      </c>
      <c r="L9" s="8">
        <f>L10+L11+L12+L13+L14+L15</f>
        <v>286319.04557179398</v>
      </c>
      <c r="M9" s="8">
        <f>M10+M11+M12+M13+M14+M15</f>
        <v>15.410896472996068</v>
      </c>
      <c r="N9" s="8">
        <f t="shared" ref="N9:O24" si="1">J9+L9</f>
        <v>1035559.79631228</v>
      </c>
      <c r="O9" s="8">
        <f t="shared" si="1"/>
        <v>57.628778410252266</v>
      </c>
      <c r="P9" s="46">
        <f t="shared" ref="P9:P35" si="2">J9-D9</f>
        <v>0</v>
      </c>
      <c r="Q9" s="46">
        <f t="shared" ref="Q9:Q35" si="3">K9-E9</f>
        <v>0</v>
      </c>
      <c r="R9" s="47">
        <f t="shared" ref="R9:R35" si="4">P9/D9</f>
        <v>0</v>
      </c>
      <c r="S9" s="46">
        <f t="shared" ref="S9:S35" si="5">L9-F9</f>
        <v>0</v>
      </c>
      <c r="T9" s="46">
        <f t="shared" ref="T9:T35" si="6">M9-G9</f>
        <v>0</v>
      </c>
      <c r="U9" s="47">
        <f t="shared" ref="U9:U32" si="7">S9/F9</f>
        <v>0</v>
      </c>
      <c r="V9" s="46">
        <f t="shared" ref="V9:V35" si="8">N9-H9</f>
        <v>0</v>
      </c>
      <c r="W9" s="46">
        <f t="shared" ref="W9:W35" si="9">O9-I9</f>
        <v>0</v>
      </c>
      <c r="X9" s="49">
        <f t="shared" ref="X9:X35" si="10">V9/H9</f>
        <v>0</v>
      </c>
    </row>
    <row r="10" spans="1:24" x14ac:dyDescent="0.25">
      <c r="A10" s="6" t="s">
        <v>14</v>
      </c>
      <c r="B10" s="20" t="s">
        <v>15</v>
      </c>
      <c r="C10" s="14">
        <v>3</v>
      </c>
      <c r="D10" s="8">
        <f>582808.7*1.18843178</f>
        <v>692628.38074048585</v>
      </c>
      <c r="E10" s="8">
        <f t="shared" ref="E10" si="11">D10/$E$36</f>
        <v>39.027913491885158</v>
      </c>
      <c r="F10" s="8">
        <f>195917.3*1.18843178</f>
        <v>232834.34557179397</v>
      </c>
      <c r="G10" s="8">
        <f t="shared" ref="G10" si="12">F10/$G$36</f>
        <v>12.532124741471229</v>
      </c>
      <c r="H10" s="8">
        <f t="shared" si="0"/>
        <v>925462.72631227982</v>
      </c>
      <c r="I10" s="8">
        <f t="shared" si="0"/>
        <v>51.560038233356387</v>
      </c>
      <c r="J10" s="8">
        <f>582808.7*1.18843178</f>
        <v>692628.38074048585</v>
      </c>
      <c r="K10" s="8">
        <f t="shared" ref="K10:K16" si="13">J10/$E$36</f>
        <v>39.027913491885158</v>
      </c>
      <c r="L10" s="8">
        <f>195917.3*1.18843178</f>
        <v>232834.34557179397</v>
      </c>
      <c r="M10" s="8">
        <f t="shared" ref="M10:M16" si="14">L10/$G$36</f>
        <v>12.532124741471229</v>
      </c>
      <c r="N10" s="8">
        <f t="shared" si="1"/>
        <v>925462.72631227982</v>
      </c>
      <c r="O10" s="8">
        <f t="shared" si="1"/>
        <v>51.560038233356387</v>
      </c>
      <c r="P10" s="46">
        <f t="shared" si="2"/>
        <v>0</v>
      </c>
      <c r="Q10" s="46">
        <f t="shared" si="3"/>
        <v>0</v>
      </c>
      <c r="R10" s="47">
        <f t="shared" si="4"/>
        <v>0</v>
      </c>
      <c r="S10" s="46">
        <f t="shared" si="5"/>
        <v>0</v>
      </c>
      <c r="T10" s="46">
        <f t="shared" si="6"/>
        <v>0</v>
      </c>
      <c r="U10" s="47">
        <f t="shared" si="7"/>
        <v>0</v>
      </c>
      <c r="V10" s="46">
        <f t="shared" si="8"/>
        <v>0</v>
      </c>
      <c r="W10" s="46">
        <f t="shared" si="9"/>
        <v>0</v>
      </c>
      <c r="X10" s="49">
        <f t="shared" si="10"/>
        <v>0</v>
      </c>
    </row>
    <row r="11" spans="1:24" ht="25.5" x14ac:dyDescent="0.25">
      <c r="A11" s="6" t="s">
        <v>16</v>
      </c>
      <c r="B11" s="20" t="s">
        <v>17</v>
      </c>
      <c r="C11" s="14">
        <v>4</v>
      </c>
      <c r="D11" s="8">
        <f>(98970+35856)*0+31197.54/11*12</f>
        <v>34033.68</v>
      </c>
      <c r="E11" s="8">
        <f t="shared" ref="E11:E15" si="15">D11/$E$36</f>
        <v>1.9177145433030935</v>
      </c>
      <c r="F11" s="8">
        <f>7382.12</f>
        <v>7382.12</v>
      </c>
      <c r="G11" s="8">
        <f t="shared" ref="G11:G15" si="16">F11/$G$36</f>
        <v>0.39733677808278162</v>
      </c>
      <c r="H11" s="8">
        <f t="shared" si="0"/>
        <v>41415.800000000003</v>
      </c>
      <c r="I11" s="8">
        <f t="shared" si="0"/>
        <v>2.3150513213858752</v>
      </c>
      <c r="J11" s="8">
        <v>34033.68</v>
      </c>
      <c r="K11" s="8">
        <f t="shared" si="13"/>
        <v>1.9177145433030935</v>
      </c>
      <c r="L11" s="8">
        <f>7382.12</f>
        <v>7382.12</v>
      </c>
      <c r="M11" s="8">
        <f t="shared" si="14"/>
        <v>0.39733677808278162</v>
      </c>
      <c r="N11" s="8">
        <f>J11+L11</f>
        <v>41415.800000000003</v>
      </c>
      <c r="O11" s="8">
        <f t="shared" si="1"/>
        <v>2.3150513213858752</v>
      </c>
      <c r="P11" s="46">
        <f t="shared" si="2"/>
        <v>0</v>
      </c>
      <c r="Q11" s="46">
        <f t="shared" si="3"/>
        <v>0</v>
      </c>
      <c r="R11" s="47">
        <f t="shared" si="4"/>
        <v>0</v>
      </c>
      <c r="S11" s="46">
        <f t="shared" si="5"/>
        <v>0</v>
      </c>
      <c r="T11" s="46">
        <f t="shared" si="6"/>
        <v>0</v>
      </c>
      <c r="U11" s="47">
        <f t="shared" si="7"/>
        <v>0</v>
      </c>
      <c r="V11" s="46">
        <f t="shared" si="8"/>
        <v>0</v>
      </c>
      <c r="W11" s="46">
        <f t="shared" si="9"/>
        <v>0</v>
      </c>
      <c r="X11" s="49">
        <f t="shared" si="10"/>
        <v>0</v>
      </c>
    </row>
    <row r="12" spans="1:24" ht="25.5" x14ac:dyDescent="0.25">
      <c r="A12" s="6" t="s">
        <v>18</v>
      </c>
      <c r="B12" s="20" t="s">
        <v>19</v>
      </c>
      <c r="C12" s="14">
        <v>5</v>
      </c>
      <c r="D12" s="8">
        <v>0</v>
      </c>
      <c r="E12" s="8">
        <f t="shared" si="15"/>
        <v>0</v>
      </c>
      <c r="F12" s="8">
        <v>34434.379999999997</v>
      </c>
      <c r="G12" s="8">
        <f t="shared" si="16"/>
        <v>1.8534033048065017</v>
      </c>
      <c r="H12" s="8">
        <f t="shared" si="0"/>
        <v>34434.379999999997</v>
      </c>
      <c r="I12" s="8">
        <f t="shared" si="0"/>
        <v>1.8534033048065017</v>
      </c>
      <c r="J12" s="8">
        <v>0</v>
      </c>
      <c r="K12" s="8">
        <f t="shared" si="13"/>
        <v>0</v>
      </c>
      <c r="L12" s="8">
        <v>34434.379999999997</v>
      </c>
      <c r="M12" s="8">
        <f t="shared" si="14"/>
        <v>1.8534033048065017</v>
      </c>
      <c r="N12" s="8">
        <f t="shared" si="1"/>
        <v>34434.379999999997</v>
      </c>
      <c r="O12" s="8">
        <f t="shared" si="1"/>
        <v>1.8534033048065017</v>
      </c>
      <c r="P12" s="46">
        <f t="shared" si="2"/>
        <v>0</v>
      </c>
      <c r="Q12" s="46">
        <f t="shared" si="3"/>
        <v>0</v>
      </c>
      <c r="R12" s="47">
        <v>0</v>
      </c>
      <c r="S12" s="46">
        <f t="shared" si="5"/>
        <v>0</v>
      </c>
      <c r="T12" s="46">
        <f t="shared" si="6"/>
        <v>0</v>
      </c>
      <c r="U12" s="47">
        <f t="shared" si="7"/>
        <v>0</v>
      </c>
      <c r="V12" s="46">
        <f t="shared" si="8"/>
        <v>0</v>
      </c>
      <c r="W12" s="46">
        <f t="shared" si="9"/>
        <v>0</v>
      </c>
      <c r="X12" s="49">
        <f t="shared" si="10"/>
        <v>0</v>
      </c>
    </row>
    <row r="13" spans="1:24" x14ac:dyDescent="0.25">
      <c r="A13" s="6" t="s">
        <v>20</v>
      </c>
      <c r="B13" s="7" t="s">
        <v>21</v>
      </c>
      <c r="C13" s="3">
        <v>6</v>
      </c>
      <c r="D13" s="9">
        <v>0</v>
      </c>
      <c r="E13" s="9">
        <f t="shared" si="15"/>
        <v>0</v>
      </c>
      <c r="F13" s="9">
        <v>0</v>
      </c>
      <c r="G13" s="9">
        <f t="shared" si="16"/>
        <v>0</v>
      </c>
      <c r="H13" s="9">
        <f t="shared" si="0"/>
        <v>0</v>
      </c>
      <c r="I13" s="9">
        <f t="shared" si="0"/>
        <v>0</v>
      </c>
      <c r="J13" s="9">
        <v>0</v>
      </c>
      <c r="K13" s="9">
        <f t="shared" si="13"/>
        <v>0</v>
      </c>
      <c r="L13" s="9">
        <v>0</v>
      </c>
      <c r="M13" s="9">
        <f t="shared" si="14"/>
        <v>0</v>
      </c>
      <c r="N13" s="9">
        <f t="shared" si="1"/>
        <v>0</v>
      </c>
      <c r="O13" s="9">
        <f t="shared" si="1"/>
        <v>0</v>
      </c>
      <c r="P13" s="50">
        <f t="shared" si="2"/>
        <v>0</v>
      </c>
      <c r="Q13" s="50">
        <f t="shared" si="3"/>
        <v>0</v>
      </c>
      <c r="R13" s="51">
        <v>0</v>
      </c>
      <c r="S13" s="50">
        <f t="shared" si="5"/>
        <v>0</v>
      </c>
      <c r="T13" s="50">
        <f t="shared" si="6"/>
        <v>0</v>
      </c>
      <c r="U13" s="51">
        <v>0</v>
      </c>
      <c r="V13" s="50">
        <f t="shared" si="8"/>
        <v>0</v>
      </c>
      <c r="W13" s="50">
        <f t="shared" si="9"/>
        <v>0</v>
      </c>
      <c r="X13" s="52">
        <v>0</v>
      </c>
    </row>
    <row r="14" spans="1:24" ht="36" x14ac:dyDescent="0.25">
      <c r="A14" s="6" t="s">
        <v>22</v>
      </c>
      <c r="B14" s="10" t="s">
        <v>23</v>
      </c>
      <c r="C14" s="3">
        <v>7</v>
      </c>
      <c r="D14" s="9">
        <v>0</v>
      </c>
      <c r="E14" s="9">
        <f t="shared" si="15"/>
        <v>0</v>
      </c>
      <c r="F14" s="9">
        <v>0</v>
      </c>
      <c r="G14" s="9">
        <f t="shared" si="16"/>
        <v>0</v>
      </c>
      <c r="H14" s="9">
        <f t="shared" si="0"/>
        <v>0</v>
      </c>
      <c r="I14" s="9">
        <f t="shared" si="0"/>
        <v>0</v>
      </c>
      <c r="J14" s="9">
        <v>0</v>
      </c>
      <c r="K14" s="9">
        <f t="shared" si="13"/>
        <v>0</v>
      </c>
      <c r="L14" s="9">
        <v>0</v>
      </c>
      <c r="M14" s="9">
        <f t="shared" si="14"/>
        <v>0</v>
      </c>
      <c r="N14" s="9">
        <f t="shared" si="1"/>
        <v>0</v>
      </c>
      <c r="O14" s="9">
        <f t="shared" si="1"/>
        <v>0</v>
      </c>
      <c r="P14" s="50">
        <f t="shared" si="2"/>
        <v>0</v>
      </c>
      <c r="Q14" s="50">
        <f t="shared" si="3"/>
        <v>0</v>
      </c>
      <c r="R14" s="51">
        <v>0</v>
      </c>
      <c r="S14" s="50">
        <f t="shared" si="5"/>
        <v>0</v>
      </c>
      <c r="T14" s="50">
        <f t="shared" si="6"/>
        <v>0</v>
      </c>
      <c r="U14" s="51">
        <v>0</v>
      </c>
      <c r="V14" s="50">
        <f t="shared" si="8"/>
        <v>0</v>
      </c>
      <c r="W14" s="50">
        <f t="shared" si="9"/>
        <v>0</v>
      </c>
      <c r="X14" s="52">
        <v>0</v>
      </c>
    </row>
    <row r="15" spans="1:24" x14ac:dyDescent="0.25">
      <c r="A15" s="6" t="s">
        <v>24</v>
      </c>
      <c r="B15" s="7" t="s">
        <v>25</v>
      </c>
      <c r="C15" s="3">
        <v>8</v>
      </c>
      <c r="D15" s="9">
        <f>3955.36+928.32+911.32*2+13744.97+2127.4</f>
        <v>22578.690000000002</v>
      </c>
      <c r="E15" s="9">
        <f t="shared" si="15"/>
        <v>1.2722539020679553</v>
      </c>
      <c r="F15" s="9">
        <v>11668.2</v>
      </c>
      <c r="G15" s="9">
        <f t="shared" si="16"/>
        <v>0.62803164863555627</v>
      </c>
      <c r="H15" s="9">
        <f t="shared" si="0"/>
        <v>34246.89</v>
      </c>
      <c r="I15" s="9">
        <f t="shared" si="0"/>
        <v>1.9002855507035115</v>
      </c>
      <c r="J15" s="9">
        <f>3955.36+928.32+911.32*2+13744.97+2127.4</f>
        <v>22578.690000000002</v>
      </c>
      <c r="K15" s="9">
        <f t="shared" si="13"/>
        <v>1.2722539020679553</v>
      </c>
      <c r="L15" s="9">
        <v>11668.2</v>
      </c>
      <c r="M15" s="9">
        <f t="shared" si="14"/>
        <v>0.62803164863555627</v>
      </c>
      <c r="N15" s="9">
        <f t="shared" si="1"/>
        <v>34246.89</v>
      </c>
      <c r="O15" s="9">
        <f t="shared" si="1"/>
        <v>1.9002855507035115</v>
      </c>
      <c r="P15" s="50">
        <f t="shared" si="2"/>
        <v>0</v>
      </c>
      <c r="Q15" s="50">
        <f t="shared" si="3"/>
        <v>0</v>
      </c>
      <c r="R15" s="51">
        <f t="shared" si="4"/>
        <v>0</v>
      </c>
      <c r="S15" s="50">
        <f t="shared" si="5"/>
        <v>0</v>
      </c>
      <c r="T15" s="50">
        <f t="shared" si="6"/>
        <v>0</v>
      </c>
      <c r="U15" s="51">
        <f t="shared" si="7"/>
        <v>0</v>
      </c>
      <c r="V15" s="50">
        <f t="shared" si="8"/>
        <v>0</v>
      </c>
      <c r="W15" s="50">
        <f t="shared" si="9"/>
        <v>0</v>
      </c>
      <c r="X15" s="52">
        <f t="shared" si="10"/>
        <v>0</v>
      </c>
    </row>
    <row r="16" spans="1:24" x14ac:dyDescent="0.25">
      <c r="A16" s="6" t="s">
        <v>26</v>
      </c>
      <c r="B16" s="20" t="s">
        <v>27</v>
      </c>
      <c r="C16" s="14">
        <v>9</v>
      </c>
      <c r="D16" s="8">
        <v>1138414.7231551916</v>
      </c>
      <c r="E16" s="8">
        <v>64.146882467751823</v>
      </c>
      <c r="F16" s="8">
        <v>907253.32941273449</v>
      </c>
      <c r="G16" s="8">
        <v>48.832193843195782</v>
      </c>
      <c r="H16" s="8">
        <v>2045668.0525679262</v>
      </c>
      <c r="I16" s="8">
        <v>112.9790763109476</v>
      </c>
      <c r="J16" s="8">
        <v>1644376.82</v>
      </c>
      <c r="K16" s="8">
        <f t="shared" si="13"/>
        <v>92.656607877387728</v>
      </c>
      <c r="L16" s="8">
        <v>1310477.03</v>
      </c>
      <c r="M16" s="8">
        <f t="shared" si="14"/>
        <v>70.535391032886594</v>
      </c>
      <c r="N16" s="8">
        <f t="shared" si="1"/>
        <v>2954853.85</v>
      </c>
      <c r="O16" s="8">
        <f t="shared" si="1"/>
        <v>163.19199891027432</v>
      </c>
      <c r="P16" s="46">
        <f t="shared" si="2"/>
        <v>505962.09684480843</v>
      </c>
      <c r="Q16" s="46">
        <f t="shared" si="3"/>
        <v>28.509725409635905</v>
      </c>
      <c r="R16" s="47">
        <f t="shared" si="4"/>
        <v>0.44444444239310349</v>
      </c>
      <c r="S16" s="46">
        <f t="shared" si="5"/>
        <v>403223.70058726554</v>
      </c>
      <c r="T16" s="46">
        <f t="shared" si="6"/>
        <v>21.703197189690812</v>
      </c>
      <c r="U16" s="47">
        <f>S16/F16</f>
        <v>0.44444444293003854</v>
      </c>
      <c r="V16" s="46">
        <f t="shared" si="8"/>
        <v>909185.79743207386</v>
      </c>
      <c r="W16" s="46">
        <f t="shared" si="9"/>
        <v>50.212922599326717</v>
      </c>
      <c r="X16" s="49">
        <f t="shared" si="10"/>
        <v>0.444444442631234</v>
      </c>
    </row>
    <row r="17" spans="1:24" x14ac:dyDescent="0.25">
      <c r="A17" s="6" t="s">
        <v>28</v>
      </c>
      <c r="B17" s="20" t="s">
        <v>29</v>
      </c>
      <c r="C17" s="14">
        <v>10</v>
      </c>
      <c r="D17" s="8">
        <f>D18+D19+D20</f>
        <v>641784.06709414208</v>
      </c>
      <c r="E17" s="8">
        <f>E18+E19+E20</f>
        <v>36.162960900103798</v>
      </c>
      <c r="F17" s="8">
        <f>F18+F19+F20</f>
        <v>264428.94847080158</v>
      </c>
      <c r="G17" s="8">
        <f>G18+G19+G20</f>
        <v>14.232679286872362</v>
      </c>
      <c r="H17" s="8">
        <f t="shared" si="0"/>
        <v>906213.01556494366</v>
      </c>
      <c r="I17" s="8">
        <f t="shared" si="0"/>
        <v>50.395640186976159</v>
      </c>
      <c r="J17" s="8">
        <f>J18+J19+J20</f>
        <v>753095.72840000002</v>
      </c>
      <c r="K17" s="8">
        <f>K18+K19+K20</f>
        <v>42.435100490223704</v>
      </c>
      <c r="L17" s="8">
        <f>L18+L19+L20</f>
        <v>353138.16260000004</v>
      </c>
      <c r="M17" s="8">
        <f>M18+M19+M20</f>
        <v>19.00738266860434</v>
      </c>
      <c r="N17" s="8">
        <f t="shared" si="1"/>
        <v>1106233.8910000001</v>
      </c>
      <c r="O17" s="8">
        <f t="shared" si="1"/>
        <v>61.44248315882804</v>
      </c>
      <c r="P17" s="46">
        <f t="shared" si="2"/>
        <v>111311.66130585794</v>
      </c>
      <c r="Q17" s="46">
        <f t="shared" si="3"/>
        <v>6.272139590119906</v>
      </c>
      <c r="R17" s="47">
        <f t="shared" si="4"/>
        <v>0.17344098585970324</v>
      </c>
      <c r="S17" s="46">
        <f t="shared" si="5"/>
        <v>88709.214129198459</v>
      </c>
      <c r="T17" s="46">
        <f t="shared" si="6"/>
        <v>4.7747033817319782</v>
      </c>
      <c r="U17" s="47">
        <f t="shared" si="7"/>
        <v>0.33547466963131606</v>
      </c>
      <c r="V17" s="46">
        <f t="shared" si="8"/>
        <v>200020.8754350564</v>
      </c>
      <c r="W17" s="46">
        <f t="shared" si="9"/>
        <v>11.046842971851881</v>
      </c>
      <c r="X17" s="49">
        <f t="shared" si="10"/>
        <v>0.22072169787846302</v>
      </c>
    </row>
    <row r="18" spans="1:24" ht="51.75" customHeight="1" x14ac:dyDescent="0.25">
      <c r="A18" s="6" t="s">
        <v>30</v>
      </c>
      <c r="B18" s="20" t="s">
        <v>31</v>
      </c>
      <c r="C18" s="14">
        <v>11</v>
      </c>
      <c r="D18" s="8">
        <f>D16*0.22</f>
        <v>250451.23909414216</v>
      </c>
      <c r="E18" s="8">
        <f t="shared" ref="E18:E25" si="17">D18/$E$36</f>
        <v>14.112314142905401</v>
      </c>
      <c r="F18" s="8">
        <f>F16*0.22</f>
        <v>199595.73247080159</v>
      </c>
      <c r="G18" s="8">
        <f t="shared" ref="G18:G25" si="18">F18/$G$36</f>
        <v>10.743082645503073</v>
      </c>
      <c r="H18" s="8">
        <f t="shared" si="0"/>
        <v>450046.97156494379</v>
      </c>
      <c r="I18" s="8">
        <f t="shared" si="0"/>
        <v>24.855396788408473</v>
      </c>
      <c r="J18" s="8">
        <f>J16*0.22</f>
        <v>361762.90040000004</v>
      </c>
      <c r="K18" s="8">
        <f t="shared" ref="K18:K25" si="19">J18/$E$36</f>
        <v>20.384453733025303</v>
      </c>
      <c r="L18" s="8">
        <f>L16*0.22</f>
        <v>288304.94660000002</v>
      </c>
      <c r="M18" s="8">
        <f t="shared" ref="M18:M25" si="20">L18/$G$36</f>
        <v>15.517786027235053</v>
      </c>
      <c r="N18" s="8">
        <f t="shared" si="1"/>
        <v>650067.84700000007</v>
      </c>
      <c r="O18" s="8">
        <f t="shared" si="1"/>
        <v>35.902239760260358</v>
      </c>
      <c r="P18" s="46">
        <f t="shared" si="2"/>
        <v>111311.66130585788</v>
      </c>
      <c r="Q18" s="46">
        <f t="shared" si="3"/>
        <v>6.2721395901199024</v>
      </c>
      <c r="R18" s="47">
        <f t="shared" si="4"/>
        <v>0.4444444423931036</v>
      </c>
      <c r="S18" s="46">
        <f t="shared" si="5"/>
        <v>88709.21412919843</v>
      </c>
      <c r="T18" s="46">
        <f t="shared" si="6"/>
        <v>4.7747033817319799</v>
      </c>
      <c r="U18" s="47">
        <f t="shared" si="7"/>
        <v>0.4444444429300386</v>
      </c>
      <c r="V18" s="46">
        <f t="shared" si="8"/>
        <v>200020.87543505628</v>
      </c>
      <c r="W18" s="46">
        <f t="shared" si="9"/>
        <v>11.046842971851884</v>
      </c>
      <c r="X18" s="49">
        <f t="shared" si="10"/>
        <v>0.44444444263123406</v>
      </c>
    </row>
    <row r="19" spans="1:24" ht="46.5" customHeight="1" x14ac:dyDescent="0.25">
      <c r="A19" s="6" t="s">
        <v>32</v>
      </c>
      <c r="B19" s="10" t="s">
        <v>33</v>
      </c>
      <c r="C19" s="3">
        <v>12</v>
      </c>
      <c r="D19" s="9">
        <f>326110.69/10*12</f>
        <v>391332.82799999998</v>
      </c>
      <c r="E19" s="9">
        <f t="shared" si="17"/>
        <v>22.050646757198397</v>
      </c>
      <c r="F19" s="9">
        <f>54027.68/10*12</f>
        <v>64833.216</v>
      </c>
      <c r="G19" s="9">
        <f t="shared" si="18"/>
        <v>3.489596641369288</v>
      </c>
      <c r="H19" s="9">
        <f t="shared" si="0"/>
        <v>456166.04399999999</v>
      </c>
      <c r="I19" s="9">
        <f t="shared" si="0"/>
        <v>25.540243398567686</v>
      </c>
      <c r="J19" s="9">
        <f>326110.69/10*12</f>
        <v>391332.82799999998</v>
      </c>
      <c r="K19" s="9">
        <f t="shared" si="19"/>
        <v>22.050646757198397</v>
      </c>
      <c r="L19" s="9">
        <f>54027.68/10*12</f>
        <v>64833.216</v>
      </c>
      <c r="M19" s="9">
        <f t="shared" si="20"/>
        <v>3.489596641369288</v>
      </c>
      <c r="N19" s="9">
        <f t="shared" si="1"/>
        <v>456166.04399999999</v>
      </c>
      <c r="O19" s="9">
        <f t="shared" si="1"/>
        <v>25.540243398567686</v>
      </c>
      <c r="P19" s="50">
        <f t="shared" si="2"/>
        <v>0</v>
      </c>
      <c r="Q19" s="50">
        <f t="shared" si="3"/>
        <v>0</v>
      </c>
      <c r="R19" s="51">
        <f>P19/D19</f>
        <v>0</v>
      </c>
      <c r="S19" s="50">
        <f t="shared" si="5"/>
        <v>0</v>
      </c>
      <c r="T19" s="50">
        <f t="shared" si="6"/>
        <v>0</v>
      </c>
      <c r="U19" s="51">
        <f t="shared" si="7"/>
        <v>0</v>
      </c>
      <c r="V19" s="50">
        <f t="shared" si="8"/>
        <v>0</v>
      </c>
      <c r="W19" s="50">
        <f t="shared" si="9"/>
        <v>0</v>
      </c>
      <c r="X19" s="52">
        <f t="shared" si="10"/>
        <v>0</v>
      </c>
    </row>
    <row r="20" spans="1:24" x14ac:dyDescent="0.25">
      <c r="A20" s="6" t="s">
        <v>34</v>
      </c>
      <c r="B20" s="7" t="s">
        <v>35</v>
      </c>
      <c r="C20" s="3">
        <v>13</v>
      </c>
      <c r="D20" s="9">
        <f>0</f>
        <v>0</v>
      </c>
      <c r="E20" s="9">
        <f t="shared" si="17"/>
        <v>0</v>
      </c>
      <c r="F20" s="9">
        <v>0</v>
      </c>
      <c r="G20" s="9">
        <f t="shared" si="18"/>
        <v>0</v>
      </c>
      <c r="H20" s="9">
        <f t="shared" si="0"/>
        <v>0</v>
      </c>
      <c r="I20" s="9">
        <f t="shared" si="0"/>
        <v>0</v>
      </c>
      <c r="J20" s="9">
        <f>0</f>
        <v>0</v>
      </c>
      <c r="K20" s="9">
        <f t="shared" si="19"/>
        <v>0</v>
      </c>
      <c r="L20" s="9">
        <v>0</v>
      </c>
      <c r="M20" s="9">
        <f t="shared" si="20"/>
        <v>0</v>
      </c>
      <c r="N20" s="9">
        <f t="shared" si="1"/>
        <v>0</v>
      </c>
      <c r="O20" s="9">
        <f t="shared" si="1"/>
        <v>0</v>
      </c>
      <c r="P20" s="50">
        <f t="shared" si="2"/>
        <v>0</v>
      </c>
      <c r="Q20" s="50">
        <f t="shared" si="3"/>
        <v>0</v>
      </c>
      <c r="R20" s="51"/>
      <c r="S20" s="50">
        <f t="shared" si="5"/>
        <v>0</v>
      </c>
      <c r="T20" s="50">
        <f t="shared" si="6"/>
        <v>0</v>
      </c>
      <c r="U20" s="51"/>
      <c r="V20" s="50">
        <f t="shared" si="8"/>
        <v>0</v>
      </c>
      <c r="W20" s="50">
        <f t="shared" si="9"/>
        <v>0</v>
      </c>
      <c r="X20" s="52"/>
    </row>
    <row r="21" spans="1:24" x14ac:dyDescent="0.25">
      <c r="A21" s="6" t="s">
        <v>36</v>
      </c>
      <c r="B21" s="7" t="s">
        <v>37</v>
      </c>
      <c r="C21" s="3">
        <v>14</v>
      </c>
      <c r="D21" s="9">
        <v>438199.44</v>
      </c>
      <c r="E21" s="9">
        <f t="shared" si="17"/>
        <v>24.691465599819686</v>
      </c>
      <c r="F21" s="9">
        <v>653992.4</v>
      </c>
      <c r="G21" s="9">
        <f t="shared" si="18"/>
        <v>35.200624360837509</v>
      </c>
      <c r="H21" s="9">
        <f>D21+F21</f>
        <v>1092191.8400000001</v>
      </c>
      <c r="I21" s="9">
        <f t="shared" si="0"/>
        <v>59.892089960657195</v>
      </c>
      <c r="J21" s="9">
        <v>438199.44</v>
      </c>
      <c r="K21" s="9">
        <f t="shared" si="19"/>
        <v>24.691465599819686</v>
      </c>
      <c r="L21" s="9">
        <v>653992.4</v>
      </c>
      <c r="M21" s="9">
        <f t="shared" si="20"/>
        <v>35.200624360837509</v>
      </c>
      <c r="N21" s="9">
        <f>J21+L21</f>
        <v>1092191.8400000001</v>
      </c>
      <c r="O21" s="9">
        <f t="shared" si="1"/>
        <v>59.892089960657195</v>
      </c>
      <c r="P21" s="50">
        <f t="shared" si="2"/>
        <v>0</v>
      </c>
      <c r="Q21" s="50">
        <f t="shared" si="3"/>
        <v>0</v>
      </c>
      <c r="R21" s="51">
        <f t="shared" si="4"/>
        <v>0</v>
      </c>
      <c r="S21" s="50">
        <f t="shared" si="5"/>
        <v>0</v>
      </c>
      <c r="T21" s="50">
        <f t="shared" si="6"/>
        <v>0</v>
      </c>
      <c r="U21" s="51">
        <f t="shared" si="7"/>
        <v>0</v>
      </c>
      <c r="V21" s="50">
        <f t="shared" si="8"/>
        <v>0</v>
      </c>
      <c r="W21" s="50">
        <f t="shared" si="9"/>
        <v>0</v>
      </c>
      <c r="X21" s="52">
        <f t="shared" si="10"/>
        <v>0</v>
      </c>
    </row>
    <row r="22" spans="1:24" x14ac:dyDescent="0.25">
      <c r="A22" s="6">
        <v>2</v>
      </c>
      <c r="B22" s="7" t="s">
        <v>38</v>
      </c>
      <c r="C22" s="3">
        <v>15</v>
      </c>
      <c r="D22" s="9">
        <v>56083.68</v>
      </c>
      <c r="E22" s="9">
        <f t="shared" si="17"/>
        <v>3.1601780582633685</v>
      </c>
      <c r="F22" s="9">
        <v>56329.18</v>
      </c>
      <c r="G22" s="9">
        <f t="shared" si="18"/>
        <v>3.0318736207546153</v>
      </c>
      <c r="H22" s="9">
        <f t="shared" ref="H22:H25" si="21">D22+F22</f>
        <v>112412.86</v>
      </c>
      <c r="I22" s="9">
        <f t="shared" si="0"/>
        <v>6.1920516790179843</v>
      </c>
      <c r="J22" s="9">
        <v>56083.68</v>
      </c>
      <c r="K22" s="9">
        <f t="shared" si="19"/>
        <v>3.1601780582633685</v>
      </c>
      <c r="L22" s="9">
        <v>56329.18</v>
      </c>
      <c r="M22" s="9">
        <f t="shared" si="20"/>
        <v>3.0318736207546153</v>
      </c>
      <c r="N22" s="9">
        <f t="shared" ref="N22:O35" si="22">J22+L22</f>
        <v>112412.86</v>
      </c>
      <c r="O22" s="9">
        <f t="shared" si="1"/>
        <v>6.1920516790179843</v>
      </c>
      <c r="P22" s="50">
        <f t="shared" si="2"/>
        <v>0</v>
      </c>
      <c r="Q22" s="50">
        <f t="shared" si="3"/>
        <v>0</v>
      </c>
      <c r="R22" s="51">
        <f t="shared" si="4"/>
        <v>0</v>
      </c>
      <c r="S22" s="50">
        <f t="shared" si="5"/>
        <v>0</v>
      </c>
      <c r="T22" s="50">
        <v>0</v>
      </c>
      <c r="U22" s="51">
        <f t="shared" si="7"/>
        <v>0</v>
      </c>
      <c r="V22" s="50">
        <f t="shared" si="8"/>
        <v>0</v>
      </c>
      <c r="W22" s="50">
        <v>0</v>
      </c>
      <c r="X22" s="52">
        <f t="shared" si="10"/>
        <v>0</v>
      </c>
    </row>
    <row r="23" spans="1:24" x14ac:dyDescent="0.25">
      <c r="A23" s="6">
        <v>3</v>
      </c>
      <c r="B23" s="7" t="s">
        <v>39</v>
      </c>
      <c r="C23" s="3">
        <v>16</v>
      </c>
      <c r="D23" s="9">
        <v>116626.04</v>
      </c>
      <c r="E23" s="9">
        <f t="shared" si="17"/>
        <v>6.5715918183354933</v>
      </c>
      <c r="F23" s="9">
        <v>93088.37</v>
      </c>
      <c r="G23" s="9">
        <f t="shared" si="18"/>
        <v>5.0104079875127834</v>
      </c>
      <c r="H23" s="9">
        <f t="shared" si="21"/>
        <v>209714.40999999997</v>
      </c>
      <c r="I23" s="9">
        <f t="shared" si="0"/>
        <v>11.581999805848277</v>
      </c>
      <c r="J23" s="9">
        <v>116626.04</v>
      </c>
      <c r="K23" s="9">
        <f t="shared" si="19"/>
        <v>6.5715918183354933</v>
      </c>
      <c r="L23" s="9">
        <v>93088.37</v>
      </c>
      <c r="M23" s="9">
        <f t="shared" si="20"/>
        <v>5.0104079875127834</v>
      </c>
      <c r="N23" s="9">
        <f t="shared" si="22"/>
        <v>209714.40999999997</v>
      </c>
      <c r="O23" s="9">
        <f t="shared" si="1"/>
        <v>11.581999805848277</v>
      </c>
      <c r="P23" s="50">
        <f t="shared" si="2"/>
        <v>0</v>
      </c>
      <c r="Q23" s="50">
        <f t="shared" si="3"/>
        <v>0</v>
      </c>
      <c r="R23" s="51">
        <f t="shared" si="4"/>
        <v>0</v>
      </c>
      <c r="S23" s="50">
        <f t="shared" si="5"/>
        <v>0</v>
      </c>
      <c r="T23" s="50">
        <f t="shared" si="6"/>
        <v>0</v>
      </c>
      <c r="U23" s="51">
        <f t="shared" si="7"/>
        <v>0</v>
      </c>
      <c r="V23" s="50">
        <f t="shared" si="8"/>
        <v>0</v>
      </c>
      <c r="W23" s="50">
        <f t="shared" si="9"/>
        <v>0</v>
      </c>
      <c r="X23" s="52">
        <f t="shared" si="10"/>
        <v>0</v>
      </c>
    </row>
    <row r="24" spans="1:24" x14ac:dyDescent="0.25">
      <c r="A24" s="6">
        <v>4</v>
      </c>
      <c r="B24" s="7" t="s">
        <v>40</v>
      </c>
      <c r="C24" s="3">
        <v>17</v>
      </c>
      <c r="D24" s="9">
        <f>0</f>
        <v>0</v>
      </c>
      <c r="E24" s="9">
        <f t="shared" si="17"/>
        <v>0</v>
      </c>
      <c r="F24" s="9">
        <v>0</v>
      </c>
      <c r="G24" s="9">
        <f t="shared" si="18"/>
        <v>0</v>
      </c>
      <c r="H24" s="9">
        <f t="shared" si="21"/>
        <v>0</v>
      </c>
      <c r="I24" s="9">
        <f t="shared" si="0"/>
        <v>0</v>
      </c>
      <c r="J24" s="9">
        <f>0</f>
        <v>0</v>
      </c>
      <c r="K24" s="9">
        <f t="shared" si="19"/>
        <v>0</v>
      </c>
      <c r="L24" s="9">
        <v>0</v>
      </c>
      <c r="M24" s="9">
        <f t="shared" si="20"/>
        <v>0</v>
      </c>
      <c r="N24" s="9">
        <f t="shared" si="22"/>
        <v>0</v>
      </c>
      <c r="O24" s="9">
        <f t="shared" si="1"/>
        <v>0</v>
      </c>
      <c r="P24" s="50">
        <f t="shared" si="2"/>
        <v>0</v>
      </c>
      <c r="Q24" s="50">
        <f t="shared" si="3"/>
        <v>0</v>
      </c>
      <c r="R24" s="51">
        <v>0</v>
      </c>
      <c r="S24" s="50">
        <f t="shared" si="5"/>
        <v>0</v>
      </c>
      <c r="T24" s="50">
        <f t="shared" si="6"/>
        <v>0</v>
      </c>
      <c r="U24" s="51">
        <v>0</v>
      </c>
      <c r="V24" s="50">
        <f t="shared" si="8"/>
        <v>0</v>
      </c>
      <c r="W24" s="50">
        <f t="shared" si="9"/>
        <v>0</v>
      </c>
      <c r="X24" s="52">
        <v>0</v>
      </c>
    </row>
    <row r="25" spans="1:24" x14ac:dyDescent="0.25">
      <c r="A25" s="6">
        <v>5</v>
      </c>
      <c r="B25" s="7" t="s">
        <v>41</v>
      </c>
      <c r="C25" s="3">
        <v>18</v>
      </c>
      <c r="D25" s="9">
        <f>0</f>
        <v>0</v>
      </c>
      <c r="E25" s="9">
        <f t="shared" si="17"/>
        <v>0</v>
      </c>
      <c r="F25" s="9">
        <v>0</v>
      </c>
      <c r="G25" s="9">
        <f t="shared" si="18"/>
        <v>0</v>
      </c>
      <c r="H25" s="9">
        <f t="shared" si="21"/>
        <v>0</v>
      </c>
      <c r="I25" s="9">
        <f t="shared" si="0"/>
        <v>0</v>
      </c>
      <c r="J25" s="9">
        <f>0</f>
        <v>0</v>
      </c>
      <c r="K25" s="9">
        <f t="shared" si="19"/>
        <v>0</v>
      </c>
      <c r="L25" s="9">
        <v>0</v>
      </c>
      <c r="M25" s="9">
        <f t="shared" si="20"/>
        <v>0</v>
      </c>
      <c r="N25" s="9">
        <f t="shared" si="22"/>
        <v>0</v>
      </c>
      <c r="O25" s="9">
        <f t="shared" si="22"/>
        <v>0</v>
      </c>
      <c r="P25" s="50">
        <f t="shared" si="2"/>
        <v>0</v>
      </c>
      <c r="Q25" s="50">
        <f t="shared" si="3"/>
        <v>0</v>
      </c>
      <c r="R25" s="51">
        <v>0</v>
      </c>
      <c r="S25" s="50">
        <f t="shared" si="5"/>
        <v>0</v>
      </c>
      <c r="T25" s="50">
        <f t="shared" si="6"/>
        <v>0</v>
      </c>
      <c r="U25" s="51">
        <v>0</v>
      </c>
      <c r="V25" s="50">
        <f t="shared" si="8"/>
        <v>0</v>
      </c>
      <c r="W25" s="50">
        <f t="shared" si="9"/>
        <v>0</v>
      </c>
      <c r="X25" s="52">
        <v>0</v>
      </c>
    </row>
    <row r="26" spans="1:24" ht="25.5" x14ac:dyDescent="0.25">
      <c r="A26" s="6">
        <v>6</v>
      </c>
      <c r="B26" s="7" t="s">
        <v>42</v>
      </c>
      <c r="C26" s="3">
        <v>19</v>
      </c>
      <c r="D26" s="9">
        <f>D8+D22+D23+D24+D25</f>
        <v>3140348.7009898201</v>
      </c>
      <c r="E26" s="9">
        <f>E8+E22+E23+E24+E25</f>
        <v>176.95096078153037</v>
      </c>
      <c r="F26" s="9">
        <f>F8+F22+F23+F24+F25</f>
        <v>2261411.2734553302</v>
      </c>
      <c r="G26" s="9">
        <f>G8+G22+G23+G24+G25</f>
        <v>121.7186755721691</v>
      </c>
      <c r="H26" s="9">
        <f t="shared" si="0"/>
        <v>5401759.9744451502</v>
      </c>
      <c r="I26" s="9">
        <f t="shared" si="0"/>
        <v>298.6696363536995</v>
      </c>
      <c r="J26" s="9">
        <f>J8+J22+J23+J24+J25</f>
        <v>3757622.4591404861</v>
      </c>
      <c r="K26" s="9">
        <f>K8+K22+K23+K24+K25</f>
        <v>211.73282578128618</v>
      </c>
      <c r="L26" s="9">
        <f>L8+L22+L23+L24+L25</f>
        <v>2753344.1881717942</v>
      </c>
      <c r="M26" s="9">
        <f>M8+M22+M23+M24+M25</f>
        <v>148.19657614359193</v>
      </c>
      <c r="N26" s="9">
        <f t="shared" si="22"/>
        <v>6510966.6473122798</v>
      </c>
      <c r="O26" s="9">
        <f t="shared" si="22"/>
        <v>359.92940192487811</v>
      </c>
      <c r="P26" s="50">
        <f t="shared" si="2"/>
        <v>617273.75815066602</v>
      </c>
      <c r="Q26" s="50">
        <f t="shared" si="3"/>
        <v>34.781864999755811</v>
      </c>
      <c r="R26" s="51">
        <f t="shared" si="4"/>
        <v>0.19656217093219769</v>
      </c>
      <c r="S26" s="50">
        <f t="shared" si="5"/>
        <v>491932.914716464</v>
      </c>
      <c r="T26" s="50">
        <f t="shared" si="6"/>
        <v>26.477900571422822</v>
      </c>
      <c r="U26" s="51">
        <f t="shared" si="7"/>
        <v>0.21753359085577284</v>
      </c>
      <c r="V26" s="50">
        <f t="shared" si="8"/>
        <v>1109206.6728671296</v>
      </c>
      <c r="W26" s="50">
        <f t="shared" si="9"/>
        <v>61.259765571178605</v>
      </c>
      <c r="X26" s="52">
        <f t="shared" si="10"/>
        <v>0.20534171790575781</v>
      </c>
    </row>
    <row r="27" spans="1:24" x14ac:dyDescent="0.25">
      <c r="A27" s="6">
        <v>7</v>
      </c>
      <c r="B27" s="7" t="s">
        <v>43</v>
      </c>
      <c r="C27" s="3">
        <v>20</v>
      </c>
      <c r="D27" s="9">
        <v>0</v>
      </c>
      <c r="E27" s="9">
        <f>D27/$E$36</f>
        <v>0</v>
      </c>
      <c r="F27" s="9">
        <v>0</v>
      </c>
      <c r="G27" s="9">
        <f>F27/$G$36</f>
        <v>0</v>
      </c>
      <c r="H27" s="9">
        <f t="shared" si="0"/>
        <v>0</v>
      </c>
      <c r="I27" s="9">
        <f t="shared" si="0"/>
        <v>0</v>
      </c>
      <c r="J27" s="9">
        <v>0</v>
      </c>
      <c r="K27" s="9">
        <f>J27/$E$36</f>
        <v>0</v>
      </c>
      <c r="L27" s="9">
        <v>0</v>
      </c>
      <c r="M27" s="9">
        <f>L27/$G$36</f>
        <v>0</v>
      </c>
      <c r="N27" s="9">
        <f t="shared" si="22"/>
        <v>0</v>
      </c>
      <c r="O27" s="9">
        <f t="shared" si="22"/>
        <v>0</v>
      </c>
      <c r="P27" s="50">
        <f t="shared" si="2"/>
        <v>0</v>
      </c>
      <c r="Q27" s="50">
        <f t="shared" si="3"/>
        <v>0</v>
      </c>
      <c r="R27" s="51">
        <v>0</v>
      </c>
      <c r="S27" s="50">
        <f t="shared" si="5"/>
        <v>0</v>
      </c>
      <c r="T27" s="50">
        <f t="shared" si="6"/>
        <v>0</v>
      </c>
      <c r="U27" s="51">
        <v>0</v>
      </c>
      <c r="V27" s="50">
        <f t="shared" si="8"/>
        <v>0</v>
      </c>
      <c r="W27" s="50">
        <f t="shared" si="9"/>
        <v>0</v>
      </c>
      <c r="X27" s="52">
        <v>0</v>
      </c>
    </row>
    <row r="28" spans="1:24" x14ac:dyDescent="0.25">
      <c r="A28" s="6">
        <v>8</v>
      </c>
      <c r="B28" s="7" t="s">
        <v>44</v>
      </c>
      <c r="C28" s="3">
        <v>21</v>
      </c>
      <c r="D28" s="9">
        <f>D29+D30</f>
        <v>125613.94803959281</v>
      </c>
      <c r="E28" s="9">
        <f>E29+E30</f>
        <v>7.0680384312612166</v>
      </c>
      <c r="F28" s="9">
        <f>F29+F30</f>
        <v>90456.450938213209</v>
      </c>
      <c r="G28" s="9">
        <f>G29+G30</f>
        <v>4.8687470228867653</v>
      </c>
      <c r="H28" s="9">
        <f t="shared" si="0"/>
        <v>216070.39897780603</v>
      </c>
      <c r="I28" s="9">
        <f t="shared" si="0"/>
        <v>11.936785454147982</v>
      </c>
      <c r="J28" s="9">
        <f>J29+J30</f>
        <v>150304.89836561945</v>
      </c>
      <c r="K28" s="9">
        <f>K29+K30</f>
        <v>8.4593130312514475</v>
      </c>
      <c r="L28" s="9">
        <f>L29+L30</f>
        <v>110133.76752687179</v>
      </c>
      <c r="M28" s="9">
        <f>M29+M30</f>
        <v>5.9278630457436776</v>
      </c>
      <c r="N28" s="9">
        <f t="shared" si="22"/>
        <v>260438.66589249123</v>
      </c>
      <c r="O28" s="9">
        <f t="shared" si="22"/>
        <v>14.387176076995125</v>
      </c>
      <c r="P28" s="50">
        <f t="shared" si="2"/>
        <v>24690.950326026636</v>
      </c>
      <c r="Q28" s="50">
        <f t="shared" si="3"/>
        <v>1.391274599990231</v>
      </c>
      <c r="R28" s="51">
        <f t="shared" si="4"/>
        <v>0.19656217093219763</v>
      </c>
      <c r="S28" s="50">
        <f t="shared" si="5"/>
        <v>19677.316588658578</v>
      </c>
      <c r="T28" s="50">
        <f t="shared" si="6"/>
        <v>1.0591160228569123</v>
      </c>
      <c r="U28" s="51">
        <f t="shared" si="7"/>
        <v>0.21753359085577301</v>
      </c>
      <c r="V28" s="50">
        <f t="shared" si="8"/>
        <v>44368.266914685199</v>
      </c>
      <c r="W28" s="50">
        <f t="shared" si="9"/>
        <v>2.4503906228471433</v>
      </c>
      <c r="X28" s="52">
        <f t="shared" si="10"/>
        <v>0.20534171790575786</v>
      </c>
    </row>
    <row r="29" spans="1:24" x14ac:dyDescent="0.25">
      <c r="A29" s="6" t="s">
        <v>45</v>
      </c>
      <c r="B29" s="7" t="s">
        <v>46</v>
      </c>
      <c r="C29" s="3">
        <v>22</v>
      </c>
      <c r="D29" s="9">
        <f>D30*18%</f>
        <v>19161.449700954836</v>
      </c>
      <c r="E29" s="9">
        <f>D29/$E$36-0.01</f>
        <v>1.069700777650016</v>
      </c>
      <c r="F29" s="9">
        <f>F30*18%</f>
        <v>13798.441668540998</v>
      </c>
      <c r="G29" s="9">
        <f t="shared" ref="G29:G34" si="23">F29/$G$36</f>
        <v>0.74269022383018446</v>
      </c>
      <c r="H29" s="9">
        <f t="shared" si="0"/>
        <v>32959.891369495832</v>
      </c>
      <c r="I29" s="9">
        <f t="shared" si="0"/>
        <v>1.8123910014802005</v>
      </c>
      <c r="J29" s="9">
        <f>J30*18%</f>
        <v>22927.865852382627</v>
      </c>
      <c r="K29" s="9">
        <f>J29/$E$36-0.01</f>
        <v>1.2819291064620852</v>
      </c>
      <c r="L29" s="9">
        <f>L30*18%</f>
        <v>16800.066232912643</v>
      </c>
      <c r="M29" s="9">
        <f t="shared" ref="M29:M34" si="24">L29/$G$36</f>
        <v>0.90425029511344224</v>
      </c>
      <c r="N29" s="9">
        <f t="shared" si="22"/>
        <v>39727.932085295266</v>
      </c>
      <c r="O29" s="9">
        <f t="shared" si="22"/>
        <v>2.1861794015755276</v>
      </c>
      <c r="P29" s="50">
        <f t="shared" si="2"/>
        <v>3766.4161514277912</v>
      </c>
      <c r="Q29" s="50">
        <f t="shared" si="3"/>
        <v>0.21222832881206921</v>
      </c>
      <c r="R29" s="51">
        <f t="shared" si="4"/>
        <v>0.19656217093219761</v>
      </c>
      <c r="S29" s="50">
        <f t="shared" si="5"/>
        <v>3001.6245643716447</v>
      </c>
      <c r="T29" s="50">
        <f t="shared" si="6"/>
        <v>0.16156007128325778</v>
      </c>
      <c r="U29" s="51">
        <f t="shared" si="7"/>
        <v>0.21753359085577281</v>
      </c>
      <c r="V29" s="50">
        <f t="shared" si="8"/>
        <v>6768.0407157994341</v>
      </c>
      <c r="W29" s="50">
        <f t="shared" si="9"/>
        <v>0.3737884000953271</v>
      </c>
      <c r="X29" s="52">
        <f t="shared" si="10"/>
        <v>0.20534171790575781</v>
      </c>
    </row>
    <row r="30" spans="1:24" x14ac:dyDescent="0.25">
      <c r="A30" s="6" t="s">
        <v>47</v>
      </c>
      <c r="B30" s="7" t="s">
        <v>48</v>
      </c>
      <c r="C30" s="3">
        <v>23</v>
      </c>
      <c r="D30" s="9">
        <f>D31+D32+D33+D34</f>
        <v>106452.49833863798</v>
      </c>
      <c r="E30" s="9">
        <f>D30/$E$36</f>
        <v>5.9983376536112001</v>
      </c>
      <c r="F30" s="9">
        <f>F31+F32+F33+F34</f>
        <v>76658.009269672213</v>
      </c>
      <c r="G30" s="9">
        <f t="shared" si="23"/>
        <v>4.1260567990565811</v>
      </c>
      <c r="H30" s="9">
        <f t="shared" si="0"/>
        <v>183110.5076083102</v>
      </c>
      <c r="I30" s="9">
        <f t="shared" si="0"/>
        <v>10.124394452667781</v>
      </c>
      <c r="J30" s="9">
        <f>J31+J32+J33+J34</f>
        <v>127377.03251323683</v>
      </c>
      <c r="K30" s="9">
        <f>J30/$E$36</f>
        <v>7.1773839247893632</v>
      </c>
      <c r="L30" s="9">
        <f>L31+L32+L33+L34</f>
        <v>93333.701293959137</v>
      </c>
      <c r="M30" s="9">
        <f t="shared" si="24"/>
        <v>5.0236127506302353</v>
      </c>
      <c r="N30" s="9">
        <f t="shared" si="22"/>
        <v>220710.73380719597</v>
      </c>
      <c r="O30" s="9">
        <f t="shared" si="22"/>
        <v>12.200996675419599</v>
      </c>
      <c r="P30" s="50">
        <f t="shared" si="2"/>
        <v>20924.534174598855</v>
      </c>
      <c r="Q30" s="50">
        <f t="shared" si="3"/>
        <v>1.1790462711781631</v>
      </c>
      <c r="R30" s="51">
        <f t="shared" si="4"/>
        <v>0.19656217093219774</v>
      </c>
      <c r="S30" s="50">
        <f t="shared" si="5"/>
        <v>16675.692024286924</v>
      </c>
      <c r="T30" s="50">
        <f t="shared" si="6"/>
        <v>0.8975559515736542</v>
      </c>
      <c r="U30" s="51">
        <f t="shared" si="7"/>
        <v>0.21753359085577292</v>
      </c>
      <c r="V30" s="50">
        <f t="shared" si="8"/>
        <v>37600.226198885764</v>
      </c>
      <c r="W30" s="50">
        <f t="shared" si="9"/>
        <v>2.0766022227518182</v>
      </c>
      <c r="X30" s="52">
        <f t="shared" si="10"/>
        <v>0.20534171790575786</v>
      </c>
    </row>
    <row r="31" spans="1:24" x14ac:dyDescent="0.25">
      <c r="A31" s="6" t="s">
        <v>49</v>
      </c>
      <c r="B31" s="7" t="s">
        <v>50</v>
      </c>
      <c r="C31" s="3">
        <v>24</v>
      </c>
      <c r="D31" s="9">
        <v>0</v>
      </c>
      <c r="E31" s="9">
        <f>D31/$E$36</f>
        <v>0</v>
      </c>
      <c r="F31" s="9">
        <v>0</v>
      </c>
      <c r="G31" s="9">
        <f t="shared" si="23"/>
        <v>0</v>
      </c>
      <c r="H31" s="9">
        <f t="shared" si="0"/>
        <v>0</v>
      </c>
      <c r="I31" s="9">
        <f t="shared" si="0"/>
        <v>0</v>
      </c>
      <c r="J31" s="9">
        <v>0</v>
      </c>
      <c r="K31" s="9">
        <f>J31/$E$36</f>
        <v>0</v>
      </c>
      <c r="L31" s="9">
        <v>0</v>
      </c>
      <c r="M31" s="9">
        <f t="shared" si="24"/>
        <v>0</v>
      </c>
      <c r="N31" s="9">
        <f t="shared" si="22"/>
        <v>0</v>
      </c>
      <c r="O31" s="9">
        <f t="shared" si="22"/>
        <v>0</v>
      </c>
      <c r="P31" s="50">
        <f t="shared" si="2"/>
        <v>0</v>
      </c>
      <c r="Q31" s="50">
        <f t="shared" si="3"/>
        <v>0</v>
      </c>
      <c r="R31" s="51">
        <v>0</v>
      </c>
      <c r="S31" s="50">
        <f t="shared" si="5"/>
        <v>0</v>
      </c>
      <c r="T31" s="50">
        <f t="shared" si="6"/>
        <v>0</v>
      </c>
      <c r="U31" s="51">
        <v>0</v>
      </c>
      <c r="V31" s="50">
        <f t="shared" si="8"/>
        <v>0</v>
      </c>
      <c r="W31" s="50">
        <f t="shared" si="9"/>
        <v>0</v>
      </c>
      <c r="X31" s="52">
        <v>0</v>
      </c>
    </row>
    <row r="32" spans="1:24" x14ac:dyDescent="0.25">
      <c r="A32" s="6" t="s">
        <v>51</v>
      </c>
      <c r="B32" s="7" t="s">
        <v>52</v>
      </c>
      <c r="C32" s="3">
        <v>25</v>
      </c>
      <c r="D32" s="9">
        <f>D26*4%/1.18</f>
        <v>106452.49833863798</v>
      </c>
      <c r="E32" s="9">
        <f>D32/$E$36</f>
        <v>5.9983376536112001</v>
      </c>
      <c r="F32" s="9">
        <f>F26*4%/1.18</f>
        <v>76658.009269672213</v>
      </c>
      <c r="G32" s="9">
        <f t="shared" si="23"/>
        <v>4.1260567990565811</v>
      </c>
      <c r="H32" s="9">
        <f t="shared" si="0"/>
        <v>183110.5076083102</v>
      </c>
      <c r="I32" s="9">
        <f t="shared" si="0"/>
        <v>10.124394452667781</v>
      </c>
      <c r="J32" s="9">
        <f>J26*4%/1.18</f>
        <v>127377.03251323683</v>
      </c>
      <c r="K32" s="9">
        <f>J32/$E$36</f>
        <v>7.1773839247893632</v>
      </c>
      <c r="L32" s="9">
        <f>L26*4%/1.18</f>
        <v>93333.701293959137</v>
      </c>
      <c r="M32" s="9">
        <f t="shared" si="24"/>
        <v>5.0236127506302353</v>
      </c>
      <c r="N32" s="9">
        <f t="shared" si="22"/>
        <v>220710.73380719597</v>
      </c>
      <c r="O32" s="9">
        <f t="shared" si="22"/>
        <v>12.200996675419599</v>
      </c>
      <c r="P32" s="50">
        <f t="shared" si="2"/>
        <v>20924.534174598855</v>
      </c>
      <c r="Q32" s="50">
        <f t="shared" si="3"/>
        <v>1.1790462711781631</v>
      </c>
      <c r="R32" s="51">
        <f t="shared" si="4"/>
        <v>0.19656217093219774</v>
      </c>
      <c r="S32" s="50">
        <f t="shared" si="5"/>
        <v>16675.692024286924</v>
      </c>
      <c r="T32" s="50">
        <f t="shared" si="6"/>
        <v>0.8975559515736542</v>
      </c>
      <c r="U32" s="51">
        <f t="shared" si="7"/>
        <v>0.21753359085577292</v>
      </c>
      <c r="V32" s="50">
        <f t="shared" si="8"/>
        <v>37600.226198885764</v>
      </c>
      <c r="W32" s="50">
        <f t="shared" si="9"/>
        <v>2.0766022227518182</v>
      </c>
      <c r="X32" s="52">
        <f t="shared" si="10"/>
        <v>0.20534171790575786</v>
      </c>
    </row>
    <row r="33" spans="1:24" ht="25.5" x14ac:dyDescent="0.25">
      <c r="A33" s="6" t="s">
        <v>53</v>
      </c>
      <c r="B33" s="7" t="s">
        <v>54</v>
      </c>
      <c r="C33" s="3">
        <v>26</v>
      </c>
      <c r="D33" s="9">
        <v>0</v>
      </c>
      <c r="E33" s="9">
        <f>D33/$E$36</f>
        <v>0</v>
      </c>
      <c r="F33" s="9">
        <v>0</v>
      </c>
      <c r="G33" s="9">
        <f t="shared" si="23"/>
        <v>0</v>
      </c>
      <c r="H33" s="9">
        <f t="shared" si="0"/>
        <v>0</v>
      </c>
      <c r="I33" s="9">
        <f t="shared" si="0"/>
        <v>0</v>
      </c>
      <c r="J33" s="9">
        <v>0</v>
      </c>
      <c r="K33" s="9">
        <f>J33/$E$36</f>
        <v>0</v>
      </c>
      <c r="L33" s="9">
        <v>0</v>
      </c>
      <c r="M33" s="9">
        <f t="shared" si="24"/>
        <v>0</v>
      </c>
      <c r="N33" s="9">
        <f t="shared" si="22"/>
        <v>0</v>
      </c>
      <c r="O33" s="9">
        <f t="shared" si="22"/>
        <v>0</v>
      </c>
      <c r="P33" s="50">
        <f t="shared" si="2"/>
        <v>0</v>
      </c>
      <c r="Q33" s="50">
        <f t="shared" si="3"/>
        <v>0</v>
      </c>
      <c r="R33" s="51">
        <v>0</v>
      </c>
      <c r="S33" s="50">
        <f t="shared" si="5"/>
        <v>0</v>
      </c>
      <c r="T33" s="50">
        <f t="shared" si="6"/>
        <v>0</v>
      </c>
      <c r="U33" s="51">
        <v>0</v>
      </c>
      <c r="V33" s="50">
        <f t="shared" si="8"/>
        <v>0</v>
      </c>
      <c r="W33" s="50">
        <f t="shared" si="9"/>
        <v>0</v>
      </c>
      <c r="X33" s="52">
        <v>0</v>
      </c>
    </row>
    <row r="34" spans="1:24" x14ac:dyDescent="0.25">
      <c r="A34" s="6" t="s">
        <v>55</v>
      </c>
      <c r="B34" s="7" t="s">
        <v>56</v>
      </c>
      <c r="C34" s="3">
        <v>27</v>
      </c>
      <c r="D34" s="9">
        <v>0</v>
      </c>
      <c r="E34" s="9">
        <f>D34/$E$36</f>
        <v>0</v>
      </c>
      <c r="F34" s="9">
        <v>0</v>
      </c>
      <c r="G34" s="9">
        <f t="shared" si="23"/>
        <v>0</v>
      </c>
      <c r="H34" s="9">
        <f t="shared" si="0"/>
        <v>0</v>
      </c>
      <c r="I34" s="9">
        <f t="shared" si="0"/>
        <v>0</v>
      </c>
      <c r="J34" s="9">
        <v>0</v>
      </c>
      <c r="K34" s="9">
        <f>J34/$E$36</f>
        <v>0</v>
      </c>
      <c r="L34" s="9">
        <v>0</v>
      </c>
      <c r="M34" s="9">
        <f t="shared" si="24"/>
        <v>0</v>
      </c>
      <c r="N34" s="9">
        <f t="shared" si="22"/>
        <v>0</v>
      </c>
      <c r="O34" s="9">
        <f t="shared" si="22"/>
        <v>0</v>
      </c>
      <c r="P34" s="50">
        <f t="shared" si="2"/>
        <v>0</v>
      </c>
      <c r="Q34" s="50">
        <f t="shared" si="3"/>
        <v>0</v>
      </c>
      <c r="R34" s="51">
        <v>0</v>
      </c>
      <c r="S34" s="50">
        <f t="shared" si="5"/>
        <v>0</v>
      </c>
      <c r="T34" s="50">
        <f t="shared" si="6"/>
        <v>0</v>
      </c>
      <c r="U34" s="51">
        <v>0</v>
      </c>
      <c r="V34" s="50">
        <f t="shared" si="8"/>
        <v>0</v>
      </c>
      <c r="W34" s="50">
        <f t="shared" si="9"/>
        <v>0</v>
      </c>
      <c r="X34" s="52">
        <v>0</v>
      </c>
    </row>
    <row r="35" spans="1:24" ht="38.25" x14ac:dyDescent="0.25">
      <c r="A35" s="6">
        <v>9</v>
      </c>
      <c r="B35" s="7" t="s">
        <v>57</v>
      </c>
      <c r="C35" s="3">
        <v>28</v>
      </c>
      <c r="D35" s="9">
        <f>D26+D27+D28</f>
        <v>3265962.6490294128</v>
      </c>
      <c r="E35" s="9">
        <f>E26+E27+E28</f>
        <v>184.01899921279158</v>
      </c>
      <c r="F35" s="9">
        <f>F26+F27+F28</f>
        <v>2351867.7243935433</v>
      </c>
      <c r="G35" s="9">
        <f>G26+G27+G28</f>
        <v>126.58742259505587</v>
      </c>
      <c r="H35" s="9">
        <f t="shared" si="0"/>
        <v>5617830.3734229561</v>
      </c>
      <c r="I35" s="9">
        <f t="shared" si="0"/>
        <v>310.60642180784748</v>
      </c>
      <c r="J35" s="9">
        <f>J26+J27+J28</f>
        <v>3907927.3575061057</v>
      </c>
      <c r="K35" s="9">
        <f>K26+K27+K28</f>
        <v>220.19213881253762</v>
      </c>
      <c r="L35" s="9">
        <f>L26+L27+L28</f>
        <v>2863477.9556986662</v>
      </c>
      <c r="M35" s="9">
        <f>M26+M27+M28</f>
        <v>154.12443918933559</v>
      </c>
      <c r="N35" s="9">
        <f t="shared" si="22"/>
        <v>6771405.3132047718</v>
      </c>
      <c r="O35" s="9">
        <f t="shared" si="22"/>
        <v>374.31657800187321</v>
      </c>
      <c r="P35" s="50">
        <f t="shared" si="2"/>
        <v>641964.7084766929</v>
      </c>
      <c r="Q35" s="50">
        <f t="shared" si="3"/>
        <v>36.173139599746037</v>
      </c>
      <c r="R35" s="51">
        <f t="shared" si="4"/>
        <v>0.19656217093219777</v>
      </c>
      <c r="S35" s="50">
        <f t="shared" si="5"/>
        <v>511610.23130512284</v>
      </c>
      <c r="T35" s="50">
        <f t="shared" si="6"/>
        <v>27.53701659427972</v>
      </c>
      <c r="U35" s="51">
        <f>S35/F35</f>
        <v>0.21753359085577295</v>
      </c>
      <c r="V35" s="50">
        <f t="shared" si="8"/>
        <v>1153574.9397818157</v>
      </c>
      <c r="W35" s="50">
        <f t="shared" si="9"/>
        <v>63.710156194025728</v>
      </c>
      <c r="X35" s="53">
        <f t="shared" si="10"/>
        <v>0.205341717905758</v>
      </c>
    </row>
    <row r="36" spans="1:24" ht="25.5" x14ac:dyDescent="0.25">
      <c r="A36" s="6">
        <v>10</v>
      </c>
      <c r="B36" s="7" t="s">
        <v>58</v>
      </c>
      <c r="C36" s="3">
        <v>29</v>
      </c>
      <c r="D36" s="12"/>
      <c r="E36" s="24">
        <v>17747</v>
      </c>
      <c r="F36" s="13"/>
      <c r="G36" s="24">
        <v>18579</v>
      </c>
      <c r="H36" s="12"/>
      <c r="I36" s="12"/>
      <c r="J36" s="12"/>
      <c r="K36" s="24">
        <v>17747</v>
      </c>
      <c r="L36" s="13"/>
      <c r="M36" s="24">
        <v>18579</v>
      </c>
      <c r="N36" s="12"/>
      <c r="O36" s="12"/>
      <c r="P36" s="54"/>
      <c r="Q36" s="54"/>
      <c r="R36" s="54"/>
      <c r="S36" s="54"/>
      <c r="T36" s="54"/>
      <c r="U36" s="54"/>
      <c r="V36" s="54"/>
      <c r="W36" s="54"/>
      <c r="X36" s="54"/>
    </row>
    <row r="37" spans="1:24" ht="25.5" x14ac:dyDescent="0.25">
      <c r="A37" s="6">
        <v>11</v>
      </c>
      <c r="B37" s="7" t="s">
        <v>59</v>
      </c>
      <c r="C37" s="3">
        <v>30</v>
      </c>
      <c r="D37" s="11"/>
      <c r="E37" s="9">
        <f>D35/E36-0.03</f>
        <v>183.9989992127916</v>
      </c>
      <c r="F37" s="11"/>
      <c r="G37" s="9">
        <f>F35/G36+0.01</f>
        <v>126.59742259505589</v>
      </c>
      <c r="H37" s="9">
        <f t="shared" si="0"/>
        <v>0</v>
      </c>
      <c r="I37" s="9">
        <f>E37+G37</f>
        <v>310.59642180784749</v>
      </c>
      <c r="J37" s="11"/>
      <c r="K37" s="9">
        <f>J35/K36</f>
        <v>220.20213881253764</v>
      </c>
      <c r="L37" s="11"/>
      <c r="M37" s="9">
        <f>L35/M36</f>
        <v>154.12443918933559</v>
      </c>
      <c r="N37" s="9">
        <f>J37+L37</f>
        <v>0</v>
      </c>
      <c r="O37" s="9">
        <f>K37+M37-0.01</f>
        <v>374.31657800187327</v>
      </c>
      <c r="P37" s="54"/>
      <c r="Q37" s="55"/>
      <c r="S37" s="54"/>
      <c r="T37" s="55"/>
      <c r="V37" s="54"/>
      <c r="W37" s="55">
        <f>W35</f>
        <v>63.710156194025728</v>
      </c>
    </row>
    <row r="38" spans="1:24" ht="25.5" x14ac:dyDescent="0.25">
      <c r="A38" s="1"/>
      <c r="B38" s="6" t="s">
        <v>60</v>
      </c>
      <c r="C38" s="3"/>
      <c r="D38" s="25"/>
      <c r="E38" s="16">
        <f>E37*1.2</f>
        <v>220.79879905534992</v>
      </c>
      <c r="F38" s="25"/>
      <c r="G38" s="16">
        <f>G37*1.2</f>
        <v>151.91690711406707</v>
      </c>
      <c r="H38" s="25"/>
      <c r="I38" s="29">
        <f>I37*1.2</f>
        <v>372.71570616941699</v>
      </c>
      <c r="J38" s="25"/>
      <c r="K38" s="29">
        <f>K37*1.2</f>
        <v>264.24256657504515</v>
      </c>
      <c r="L38" s="25"/>
      <c r="M38" s="29">
        <f>M37*1.2-0.01</f>
        <v>184.93932702720272</v>
      </c>
      <c r="N38" s="25"/>
      <c r="O38" s="29">
        <f>O37*1.2</f>
        <v>449.17989360224789</v>
      </c>
      <c r="P38" s="54"/>
      <c r="Q38" s="55"/>
      <c r="S38" s="54"/>
      <c r="T38" s="55"/>
      <c r="V38" s="54"/>
      <c r="W38" s="56">
        <f>W37*1.2</f>
        <v>76.452187432830868</v>
      </c>
    </row>
    <row r="39" spans="1:24" ht="25.5" x14ac:dyDescent="0.25">
      <c r="A39" s="1"/>
      <c r="B39" s="2" t="s">
        <v>61</v>
      </c>
      <c r="C39" s="3"/>
      <c r="D39" s="5"/>
      <c r="E39" s="34">
        <f>E38*T49-0.04</f>
        <v>27.70165529782625</v>
      </c>
      <c r="F39" s="5"/>
      <c r="G39" s="16">
        <f>G38*0.12564224+0.01</f>
        <v>19.097180503683322</v>
      </c>
      <c r="H39" s="35"/>
      <c r="I39" s="34">
        <f>I38*0.12564224-0.03</f>
        <v>46.798836206307364</v>
      </c>
      <c r="J39" s="35"/>
      <c r="K39" s="34">
        <f>K38*T49</f>
        <v>33.200027483393093</v>
      </c>
      <c r="L39" s="35"/>
      <c r="M39" s="34">
        <f>M38*T49-0.04</f>
        <v>23.196190972734861</v>
      </c>
      <c r="N39" s="35"/>
      <c r="O39" s="36">
        <f>K39+M39</f>
        <v>56.396218456127954</v>
      </c>
    </row>
    <row r="40" spans="1:24" x14ac:dyDescent="0.25">
      <c r="A40" s="26"/>
      <c r="B40" s="4" t="s">
        <v>62</v>
      </c>
      <c r="C40" s="15"/>
      <c r="D40" s="5"/>
      <c r="E40" s="16">
        <f>E37</f>
        <v>183.9989992127916</v>
      </c>
      <c r="F40" s="16">
        <f>E40*1.2</f>
        <v>220.79879905534992</v>
      </c>
      <c r="G40" s="16">
        <f>G37</f>
        <v>126.59742259505589</v>
      </c>
      <c r="H40" s="36">
        <f>G40*1.2</f>
        <v>151.91690711406707</v>
      </c>
      <c r="I40" s="37">
        <f>E40+G40</f>
        <v>310.59642180784749</v>
      </c>
      <c r="J40" s="27">
        <f>F40+H40</f>
        <v>372.71570616941699</v>
      </c>
      <c r="K40" s="36">
        <f>K37</f>
        <v>220.20213881253764</v>
      </c>
      <c r="L40" s="36">
        <f>K40*1.2</f>
        <v>264.24256657504515</v>
      </c>
      <c r="M40" s="36">
        <f>M37</f>
        <v>154.12443918933559</v>
      </c>
      <c r="N40" s="36">
        <f>M40*1.2-0.01</f>
        <v>184.93932702720272</v>
      </c>
      <c r="O40" s="36">
        <f>K40+M40</f>
        <v>374.32657800187326</v>
      </c>
      <c r="P40" s="57">
        <f>L40+N40</f>
        <v>449.1818936022479</v>
      </c>
    </row>
    <row r="41" spans="1:24" x14ac:dyDescent="0.25">
      <c r="A41" s="26"/>
      <c r="B41" s="4" t="s">
        <v>63</v>
      </c>
      <c r="C41" s="15"/>
      <c r="D41" s="5"/>
      <c r="E41" s="16">
        <f>E37</f>
        <v>183.9989992127916</v>
      </c>
      <c r="F41" s="16">
        <f t="shared" ref="F41:F42" si="25">E41*1.2</f>
        <v>220.79879905534992</v>
      </c>
      <c r="G41" s="16">
        <f>G37</f>
        <v>126.59742259505589</v>
      </c>
      <c r="H41" s="36">
        <f t="shared" ref="H41:H42" si="26">G41*1.2</f>
        <v>151.91690711406707</v>
      </c>
      <c r="I41" s="37">
        <f>E41+G41</f>
        <v>310.59642180784749</v>
      </c>
      <c r="J41" s="27">
        <f t="shared" ref="J41:J42" si="27">F41+H41</f>
        <v>372.71570616941699</v>
      </c>
      <c r="K41" s="36">
        <f>K37</f>
        <v>220.20213881253764</v>
      </c>
      <c r="L41" s="36">
        <f>K41*1.2</f>
        <v>264.24256657504515</v>
      </c>
      <c r="M41" s="36">
        <f>M37</f>
        <v>154.12443918933559</v>
      </c>
      <c r="N41" s="36">
        <f>M41*1.2-0.01</f>
        <v>184.93932702720272</v>
      </c>
      <c r="O41" s="36">
        <f>K40+M40</f>
        <v>374.32657800187326</v>
      </c>
      <c r="P41" s="57">
        <f>L41+N41</f>
        <v>449.1818936022479</v>
      </c>
    </row>
    <row r="42" spans="1:24" x14ac:dyDescent="0.25">
      <c r="A42" s="26"/>
      <c r="B42" s="4" t="s">
        <v>64</v>
      </c>
      <c r="C42" s="15"/>
      <c r="D42" s="5"/>
      <c r="E42" s="16">
        <f>E37</f>
        <v>183.9989992127916</v>
      </c>
      <c r="F42" s="16">
        <f t="shared" si="25"/>
        <v>220.79879905534992</v>
      </c>
      <c r="G42" s="16">
        <f>G37</f>
        <v>126.59742259505589</v>
      </c>
      <c r="H42" s="36">
        <f t="shared" si="26"/>
        <v>151.91690711406707</v>
      </c>
      <c r="I42" s="37">
        <f>E42+G42</f>
        <v>310.59642180784749</v>
      </c>
      <c r="J42" s="27">
        <f t="shared" si="27"/>
        <v>372.71570616941699</v>
      </c>
      <c r="K42" s="36">
        <f>K37</f>
        <v>220.20213881253764</v>
      </c>
      <c r="L42" s="36">
        <f>K42*1.2</f>
        <v>264.24256657504515</v>
      </c>
      <c r="M42" s="36">
        <f>M37</f>
        <v>154.12443918933559</v>
      </c>
      <c r="N42" s="36">
        <f>M42*1.2-0.01</f>
        <v>184.93932702720272</v>
      </c>
      <c r="O42" s="36">
        <f>K40+M40</f>
        <v>374.32657800187326</v>
      </c>
      <c r="P42" s="57">
        <f>L42+N42</f>
        <v>449.1818936022479</v>
      </c>
    </row>
    <row r="43" spans="1:24" ht="22.5" customHeight="1" x14ac:dyDescent="0.25">
      <c r="A43" s="1"/>
      <c r="B43" s="2" t="s">
        <v>65</v>
      </c>
      <c r="C43" s="3"/>
      <c r="D43" s="5"/>
      <c r="E43" s="16">
        <f>E38*0.19116231-0.01</f>
        <v>42.198408472646513</v>
      </c>
      <c r="F43" s="5"/>
      <c r="G43" s="16">
        <f>G38*0.19116231-0.04</f>
        <v>29.000786891980496</v>
      </c>
      <c r="H43" s="35"/>
      <c r="I43" s="34">
        <f>I38*0.19116231-0.05</f>
        <v>71.199195364627002</v>
      </c>
      <c r="J43" s="35"/>
      <c r="K43" s="34">
        <f>K38*S49+0.04</f>
        <v>50.553218259743083</v>
      </c>
      <c r="L43" s="35"/>
      <c r="M43" s="34">
        <f>M38*S49</f>
        <v>35.35342814755014</v>
      </c>
      <c r="N43" s="35"/>
      <c r="O43" s="36">
        <f>K43+M43-0.01</f>
        <v>85.896646407293218</v>
      </c>
    </row>
    <row r="44" spans="1:24" ht="25.5" hidden="1" x14ac:dyDescent="0.25">
      <c r="A44" s="30" t="s">
        <v>66</v>
      </c>
      <c r="B44" s="65" t="s">
        <v>67</v>
      </c>
      <c r="C44" s="65"/>
      <c r="D44" s="31"/>
      <c r="E44" s="22"/>
      <c r="F44" s="22"/>
      <c r="G44" s="22"/>
      <c r="H44" s="38"/>
      <c r="I44" s="38"/>
      <c r="J44" s="39"/>
      <c r="K44" s="39"/>
      <c r="L44" s="39"/>
      <c r="M44" s="39"/>
      <c r="N44" s="39"/>
      <c r="O44" s="39"/>
      <c r="P44" s="57">
        <f>P40-I38+0.01</f>
        <v>76.476187432830912</v>
      </c>
    </row>
    <row r="45" spans="1:24" ht="15" customHeight="1" x14ac:dyDescent="0.25">
      <c r="A45" s="63" t="s">
        <v>68</v>
      </c>
      <c r="B45" s="63"/>
      <c r="C45" s="63"/>
      <c r="D45" s="31"/>
      <c r="E45" s="22"/>
      <c r="F45" s="22"/>
      <c r="G45" s="22"/>
      <c r="H45" s="22"/>
      <c r="I45" s="28"/>
      <c r="K45" s="17">
        <f>K43-E43</f>
        <v>8.3548097870965705</v>
      </c>
      <c r="L45" s="18">
        <f>K45*1.2</f>
        <v>10.025771744515884</v>
      </c>
      <c r="M45" s="19">
        <f>O37-I37</f>
        <v>63.720156194025776</v>
      </c>
      <c r="N45" s="17">
        <f>O38-I38</f>
        <v>76.464187432830897</v>
      </c>
      <c r="O45" s="17">
        <f>O39-I39</f>
        <v>9.5973822498205905</v>
      </c>
      <c r="P45" s="58">
        <f>SUM(P10:P25)-P17+P28</f>
        <v>641964.70847669302</v>
      </c>
      <c r="Q45" s="59">
        <f>SUM(Q10:Q25)-Q17+Q28</f>
        <v>36.173139599746044</v>
      </c>
      <c r="R45" s="59">
        <f>SUM(R10:R25)-R17+R28</f>
        <v>1.0854510557184047</v>
      </c>
      <c r="S45" s="60">
        <f>SUM(S10:S25)-S17+S28</f>
        <v>511610.23130512261</v>
      </c>
      <c r="T45" s="59">
        <f>SUM(T10:T25)-T17+T28</f>
        <v>27.537016594279702</v>
      </c>
    </row>
    <row r="46" spans="1:24" x14ac:dyDescent="0.25">
      <c r="A46" s="63"/>
      <c r="B46" s="41"/>
      <c r="C46" s="41"/>
      <c r="D46" s="31"/>
      <c r="E46" s="22" t="s">
        <v>82</v>
      </c>
      <c r="F46" s="22"/>
      <c r="G46" s="22"/>
      <c r="H46" s="22"/>
      <c r="I46" s="22"/>
      <c r="J46"/>
      <c r="K46" s="40" t="s">
        <v>82</v>
      </c>
      <c r="L46" s="40"/>
      <c r="M46" s="40"/>
      <c r="N46" s="40"/>
      <c r="O46" s="40"/>
      <c r="P46" s="61"/>
      <c r="Q46" s="61"/>
      <c r="R46" s="61"/>
      <c r="S46" s="61"/>
      <c r="T46" s="61"/>
      <c r="U46" s="61"/>
      <c r="V46" s="61"/>
      <c r="W46" s="61"/>
    </row>
    <row r="47" spans="1:24" x14ac:dyDescent="0.25">
      <c r="A47" s="32"/>
      <c r="B47" s="18"/>
      <c r="C47" s="31" t="s">
        <v>80</v>
      </c>
      <c r="D47" s="31"/>
      <c r="E47" s="22"/>
      <c r="F47" s="22"/>
      <c r="G47" s="22"/>
      <c r="H47" s="22"/>
      <c r="I47" s="22"/>
      <c r="K47" s="18"/>
      <c r="L47" s="18"/>
      <c r="M47" s="18"/>
      <c r="N47" s="18"/>
      <c r="O47" s="18"/>
    </row>
    <row r="48" spans="1:24" x14ac:dyDescent="0.25">
      <c r="A48" s="32"/>
      <c r="B48" s="18"/>
      <c r="C48" s="33">
        <v>1.5077068600000001</v>
      </c>
      <c r="D48" s="31"/>
      <c r="E48" s="22"/>
      <c r="F48" s="22"/>
      <c r="G48" s="22"/>
      <c r="H48" s="22"/>
      <c r="I48" s="22"/>
      <c r="K48" s="18"/>
      <c r="L48" s="18"/>
      <c r="M48" s="18"/>
      <c r="N48" s="18"/>
      <c r="O48" s="18"/>
      <c r="S48" s="44">
        <v>2.2939476669999999</v>
      </c>
      <c r="T48" s="44">
        <v>1.5077068579999999</v>
      </c>
      <c r="U48" s="44" t="s">
        <v>69</v>
      </c>
    </row>
    <row r="49" spans="1:20" x14ac:dyDescent="0.25">
      <c r="A49" s="32"/>
      <c r="B49" s="18"/>
      <c r="C49" s="31" t="s">
        <v>81</v>
      </c>
      <c r="D49" s="31"/>
      <c r="E49" s="22"/>
      <c r="F49" s="22"/>
      <c r="G49" s="22"/>
      <c r="H49" s="22"/>
      <c r="I49" s="22"/>
      <c r="K49" s="18"/>
      <c r="L49" s="18"/>
      <c r="M49" s="18">
        <f>454.1-346.85</f>
        <v>107.25</v>
      </c>
      <c r="N49" s="18"/>
      <c r="O49" s="18"/>
      <c r="S49" s="62">
        <f>S48/12</f>
        <v>0.19116230558333333</v>
      </c>
      <c r="T49" s="62">
        <f>T48/12</f>
        <v>0.12564223816666667</v>
      </c>
    </row>
    <row r="50" spans="1:20" x14ac:dyDescent="0.25">
      <c r="A50" s="32"/>
      <c r="B50" s="18"/>
      <c r="C50" s="33">
        <v>2.2939476700000001</v>
      </c>
      <c r="D50" s="31"/>
      <c r="E50" s="22"/>
      <c r="F50" s="22"/>
      <c r="G50" s="22"/>
      <c r="H50" s="22"/>
      <c r="I50" s="22"/>
      <c r="K50" s="18"/>
      <c r="L50" s="18"/>
      <c r="M50" s="18">
        <f>I38*1.3094</f>
        <v>488.03394565823459</v>
      </c>
      <c r="N50" s="17"/>
      <c r="O50" s="18"/>
    </row>
    <row r="51" spans="1:20" x14ac:dyDescent="0.25">
      <c r="A51" s="18"/>
      <c r="B51" s="18"/>
      <c r="C51" s="18"/>
      <c r="D51" s="18"/>
      <c r="K51" s="18"/>
      <c r="L51" s="18"/>
      <c r="M51" s="18"/>
      <c r="N51" s="18"/>
      <c r="O51" s="18"/>
    </row>
  </sheetData>
  <mergeCells count="17">
    <mergeCell ref="B2:O2"/>
    <mergeCell ref="B3:B6"/>
    <mergeCell ref="C3:C6"/>
    <mergeCell ref="V5:X5"/>
    <mergeCell ref="S5:U5"/>
    <mergeCell ref="P5:R5"/>
    <mergeCell ref="P3:X4"/>
    <mergeCell ref="D3:I4"/>
    <mergeCell ref="A3:A6"/>
    <mergeCell ref="B44:C44"/>
    <mergeCell ref="J3:O4"/>
    <mergeCell ref="D5:E5"/>
    <mergeCell ref="F5:G5"/>
    <mergeCell ref="H5:I5"/>
    <mergeCell ref="J5:K5"/>
    <mergeCell ref="L5:M5"/>
    <mergeCell ref="N5:O5"/>
  </mergeCells>
  <pageMargins left="0.70866141732283472" right="0.31496062992125984" top="0" bottom="0" header="0.31496062992125984" footer="0.31496062992125984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Розрахунок коригування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2026-08-12T08:05:18Z</dcterms:modified>
</cp:coreProperties>
</file>